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omments5.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activeX/activeX3.xml" ContentType="application/vnd.ms-office.activeX+xml"/>
  <Override PartName="/xl/activeX/activeX2.xml" ContentType="application/vnd.ms-office.activeX+xml"/>
  <Override PartName="/xl/activeX/activeX1.xml" ContentType="application/vnd.ms-office.activeX+xml"/>
  <Override PartName="/xl/activeX/activeX3.bin" ContentType="application/vnd.ms-office.activeX"/>
  <Override PartName="/xl/activeX/activeX2.bin" ContentType="application/vnd.ms-office.activeX"/>
  <Override PartName="/xl/activeX/activeX1.bin" ContentType="application/vnd.ms-office.activeX"/>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613"/>
  <workbookPr defaultThemeVersion="124226"/>
  <mc:AlternateContent xmlns:mc="http://schemas.openxmlformats.org/markup-compatibility/2006">
    <mc:Choice Requires="x15">
      <x15ac:absPath xmlns:x15ac="http://schemas.microsoft.com/office/spreadsheetml/2010/11/ac" url="https://studentrcc.sharepoint.com/sites/NORCOBUSINESSSERVICES/Shared Documents/NC Budget and Planning Manual/PLANNING &amp; BUDGET MANUAL/21-22 Planning and Budget Manual/"/>
    </mc:Choice>
  </mc:AlternateContent>
  <xr:revisionPtr revIDLastSave="0" documentId="11_F6868FFE48F95DB5CA8AB4F2F9BBA032E7AE2ED4" xr6:coauthVersionLast="47" xr6:coauthVersionMax="47" xr10:uidLastSave="{00000000-0000-0000-0000-000000000000}"/>
  <bookViews>
    <workbookView xWindow="0" yWindow="0" windowWidth="28755" windowHeight="11145" tabRatio="876" firstSheet="2" activeTab="2" xr2:uid="{00000000-000D-0000-FFFF-FFFF00000000}"/>
  </bookViews>
  <sheets>
    <sheet name="How to Use the Workbook" sheetId="36" r:id="rId1"/>
    <sheet name="Summary" sheetId="9" r:id="rId2"/>
    <sheet name="TCO Estimator" sheetId="8" r:id="rId3"/>
    <sheet name="Administrator Job Titles" sheetId="25" state="hidden" r:id="rId4"/>
    <sheet name="Classified Job Titles" sheetId="14" state="hidden" r:id="rId5"/>
    <sheet name="Short Term NonClassified Titles" sheetId="26" state="hidden" r:id="rId6"/>
    <sheet name="TCP Full Time Fac" sheetId="21" state="hidden" r:id="rId7"/>
    <sheet name="TCP Full Time CounsLib" sheetId="24" state="hidden" r:id="rId8"/>
    <sheet name="TCP Assoc Fac" sheetId="22" state="hidden" r:id="rId9"/>
    <sheet name="Student Employment" sheetId="15" state="hidden" r:id="rId10"/>
    <sheet name="Technology" sheetId="23" r:id="rId11"/>
    <sheet name="Utilities" sheetId="27" r:id="rId12"/>
    <sheet name="M &amp; O Standards" sheetId="18" r:id="rId13"/>
    <sheet name="FUSION GSF BY LOCATION" sheetId="19" state="hidden" r:id="rId14"/>
    <sheet name="bldg_summary All 4-14-21" sheetId="33" state="hidden" r:id="rId15"/>
    <sheet name="RATE SHEET" sheetId="30" state="hidden" r:id="rId16"/>
    <sheet name="NOTES" sheetId="32" state="hidden" r:id="rId17"/>
    <sheet name="VFS Utilities - FY 1819" sheetId="34" state="hidden" r:id="rId18"/>
  </sheets>
  <definedNames>
    <definedName name="_xlnm._FilterDatabase" localSheetId="14" hidden="1">'bldg_summary All 4-14-21'!$A$4:$L$201</definedName>
    <definedName name="_xlnm._FilterDatabase" localSheetId="5" hidden="1">'Short Term NonClassified Titles'!$A$1:$B$117</definedName>
    <definedName name="_xlnm._FilterDatabase" localSheetId="17" hidden="1">'VFS Utilities - FY 1819'!$A$8:$N$40</definedName>
    <definedName name="AdministratorTitles">'Administrator Job Titles'!$A$2:$A$124</definedName>
    <definedName name="AdminTitles">'Administrator Job Titles'!$A$3:$A$124</definedName>
    <definedName name="AdminTitles2">'Administrator Job Titles'!$A$2:$A$124</definedName>
    <definedName name="ClassTitles">'Classified Job Titles'!$A$2:$A$271</definedName>
    <definedName name="ClassTitles2">'Classified Job Titles'!$A$2:$A$271</definedName>
    <definedName name="_xlnm.Print_Area" localSheetId="13">'FUSION GSF BY LOCATION'!$A$2:$P$73</definedName>
    <definedName name="_xlnm.Print_Area" localSheetId="12">'M &amp; O Standards'!$A$1:$S$33</definedName>
    <definedName name="_xlnm.Print_Area" localSheetId="2">'TCO Estimator'!$A$2:$J$60</definedName>
    <definedName name="Sections">#REF!</definedName>
    <definedName name="ShortTerm">'Short Term NonClassified Titles'!$A$2:$A$116</definedName>
    <definedName name="StudentTitles">'Student Employment'!$A$4:$A$8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 i="8" l="1"/>
  <c r="D9" i="8"/>
  <c r="E13" i="8"/>
  <c r="H8" i="8"/>
  <c r="H7" i="8"/>
  <c r="H6" i="8"/>
  <c r="H5" i="8"/>
  <c r="Q8" i="18"/>
  <c r="D2" i="23" l="1"/>
  <c r="E7" i="30"/>
  <c r="H65" i="19" l="1"/>
  <c r="C92" i="19"/>
  <c r="I191" i="33"/>
  <c r="I192" i="33"/>
  <c r="I193" i="33"/>
  <c r="I194" i="33"/>
  <c r="I195" i="33"/>
  <c r="I196" i="33"/>
  <c r="I197" i="33"/>
  <c r="I198" i="33"/>
  <c r="I199" i="33"/>
  <c r="I200" i="33"/>
  <c r="I190" i="33"/>
  <c r="I152" i="33"/>
  <c r="I153" i="33"/>
  <c r="I154" i="33"/>
  <c r="I155" i="33"/>
  <c r="I156" i="33"/>
  <c r="I157" i="33"/>
  <c r="I158" i="33"/>
  <c r="I159" i="33"/>
  <c r="I160" i="33"/>
  <c r="I161" i="33"/>
  <c r="I162" i="33"/>
  <c r="I163" i="33"/>
  <c r="I164" i="33"/>
  <c r="I165" i="33"/>
  <c r="I166" i="33"/>
  <c r="I167" i="33"/>
  <c r="I168" i="33"/>
  <c r="I169" i="33"/>
  <c r="I170" i="33"/>
  <c r="I171" i="33"/>
  <c r="I172" i="33"/>
  <c r="I173" i="33"/>
  <c r="I174" i="33"/>
  <c r="I175" i="33"/>
  <c r="I176" i="33"/>
  <c r="I177" i="33"/>
  <c r="I178" i="33"/>
  <c r="I179" i="33"/>
  <c r="I180" i="33"/>
  <c r="I181" i="33"/>
  <c r="I182" i="33"/>
  <c r="I183" i="33"/>
  <c r="I184" i="33"/>
  <c r="I185" i="33"/>
  <c r="I186" i="33"/>
  <c r="I187" i="33"/>
  <c r="I188" i="33"/>
  <c r="I151" i="33"/>
  <c r="H150" i="33"/>
  <c r="G150" i="33"/>
  <c r="I91" i="33"/>
  <c r="I92" i="33"/>
  <c r="I93" i="33"/>
  <c r="I94" i="33"/>
  <c r="I95" i="33"/>
  <c r="I96" i="33"/>
  <c r="I97" i="33"/>
  <c r="I98" i="33"/>
  <c r="I99" i="33"/>
  <c r="I100" i="33"/>
  <c r="I101" i="33"/>
  <c r="I102" i="33"/>
  <c r="I103" i="33"/>
  <c r="I104" i="33"/>
  <c r="I105" i="33"/>
  <c r="I106" i="33"/>
  <c r="I107" i="33"/>
  <c r="I108" i="33"/>
  <c r="I109" i="33"/>
  <c r="I110" i="33"/>
  <c r="I111" i="33"/>
  <c r="I112" i="33"/>
  <c r="I113" i="33"/>
  <c r="I114" i="33"/>
  <c r="I115" i="33"/>
  <c r="I116" i="33"/>
  <c r="I117" i="33"/>
  <c r="I118" i="33"/>
  <c r="I119" i="33"/>
  <c r="I120" i="33"/>
  <c r="I121" i="33"/>
  <c r="I122" i="33"/>
  <c r="I123" i="33"/>
  <c r="I124" i="33"/>
  <c r="I125" i="33"/>
  <c r="I126" i="33"/>
  <c r="I127" i="33"/>
  <c r="I128" i="33"/>
  <c r="I129" i="33"/>
  <c r="I130" i="33"/>
  <c r="I131" i="33"/>
  <c r="I132" i="33"/>
  <c r="I133" i="33"/>
  <c r="I134" i="33"/>
  <c r="I135" i="33"/>
  <c r="I136" i="33"/>
  <c r="I137" i="33"/>
  <c r="I138" i="33"/>
  <c r="I139" i="33"/>
  <c r="I140" i="33"/>
  <c r="I141" i="33"/>
  <c r="I142" i="33"/>
  <c r="I143" i="33"/>
  <c r="I144" i="33"/>
  <c r="I145" i="33"/>
  <c r="I146" i="33"/>
  <c r="I147" i="33"/>
  <c r="I148" i="33"/>
  <c r="I149" i="33"/>
  <c r="I90" i="33"/>
  <c r="H89" i="33"/>
  <c r="G89" i="33"/>
  <c r="I6" i="33"/>
  <c r="I7" i="33"/>
  <c r="I8" i="33"/>
  <c r="I9" i="33"/>
  <c r="I10" i="33"/>
  <c r="I11" i="33"/>
  <c r="I12" i="33"/>
  <c r="I13" i="33"/>
  <c r="I14" i="33"/>
  <c r="I15" i="33"/>
  <c r="I16" i="33"/>
  <c r="I17" i="33"/>
  <c r="I18" i="33"/>
  <c r="I19" i="33"/>
  <c r="I20" i="33"/>
  <c r="I21" i="33"/>
  <c r="I22" i="33"/>
  <c r="I23" i="33"/>
  <c r="I24" i="33"/>
  <c r="I25" i="33"/>
  <c r="I26" i="33"/>
  <c r="I27" i="33"/>
  <c r="I28" i="33"/>
  <c r="I29" i="33"/>
  <c r="I30" i="33"/>
  <c r="I31" i="33"/>
  <c r="I32" i="33"/>
  <c r="I33" i="33"/>
  <c r="I34" i="33"/>
  <c r="I35" i="33"/>
  <c r="I36" i="33"/>
  <c r="I37" i="33"/>
  <c r="I38" i="33"/>
  <c r="I39" i="33"/>
  <c r="I40" i="33"/>
  <c r="I41" i="33"/>
  <c r="I42" i="33"/>
  <c r="I43" i="33"/>
  <c r="I44" i="33"/>
  <c r="I45" i="33"/>
  <c r="I46" i="33"/>
  <c r="I47" i="33"/>
  <c r="I48" i="33"/>
  <c r="I49" i="33"/>
  <c r="I50" i="33"/>
  <c r="I51" i="33"/>
  <c r="I52" i="33"/>
  <c r="I53" i="33"/>
  <c r="I54" i="33"/>
  <c r="I55" i="33"/>
  <c r="I56" i="33"/>
  <c r="I57" i="33"/>
  <c r="I58" i="33"/>
  <c r="I59" i="33"/>
  <c r="I60" i="33"/>
  <c r="I61" i="33"/>
  <c r="I62" i="33"/>
  <c r="I63" i="33"/>
  <c r="I64" i="33"/>
  <c r="I65" i="33"/>
  <c r="I66" i="33"/>
  <c r="I67" i="33"/>
  <c r="I68" i="33"/>
  <c r="I69" i="33"/>
  <c r="I70" i="33"/>
  <c r="I71" i="33"/>
  <c r="I72" i="33"/>
  <c r="I73" i="33"/>
  <c r="I74" i="33"/>
  <c r="I75" i="33"/>
  <c r="I76" i="33"/>
  <c r="I77" i="33"/>
  <c r="I78" i="33"/>
  <c r="I79" i="33"/>
  <c r="I80" i="33"/>
  <c r="I81" i="33"/>
  <c r="I82" i="33"/>
  <c r="I83" i="33"/>
  <c r="I84" i="33"/>
  <c r="I85" i="33"/>
  <c r="I86" i="33"/>
  <c r="I87" i="33"/>
  <c r="I88" i="33"/>
  <c r="I5" i="33"/>
  <c r="Q11" i="18" l="1"/>
  <c r="B2" i="21" l="1"/>
  <c r="G56" i="8" l="1"/>
  <c r="I54" i="8"/>
  <c r="D17" i="23" l="1"/>
  <c r="M11" i="18" l="1"/>
  <c r="M8" i="18"/>
  <c r="I11" i="18"/>
  <c r="I8" i="18"/>
  <c r="I18" i="18"/>
  <c r="R13" i="18"/>
  <c r="R11" i="18"/>
  <c r="N13" i="18"/>
  <c r="N11" i="18"/>
  <c r="J11" i="18"/>
  <c r="Q27" i="18"/>
  <c r="R12" i="18" s="1"/>
  <c r="I28" i="18"/>
  <c r="J13" i="18" s="1"/>
  <c r="M27" i="18"/>
  <c r="N12" i="18" s="1"/>
  <c r="I21" i="18" l="1"/>
  <c r="B38" i="30" l="1"/>
  <c r="A37" i="30"/>
  <c r="A30" i="30"/>
  <c r="A31" i="30" s="1"/>
  <c r="A32" i="30" s="1"/>
  <c r="A34" i="30" s="1"/>
  <c r="A38" i="30" l="1"/>
  <c r="A39" i="30" s="1"/>
  <c r="A41" i="30" s="1"/>
  <c r="G19" i="8" s="1"/>
  <c r="G20" i="8" s="1"/>
  <c r="C10" i="34" l="1"/>
  <c r="C11" i="34"/>
  <c r="C12" i="34"/>
  <c r="C13" i="34"/>
  <c r="C14" i="34"/>
  <c r="C15" i="34"/>
  <c r="C16" i="34"/>
  <c r="C17" i="34"/>
  <c r="C18" i="34"/>
  <c r="C19" i="34"/>
  <c r="C20" i="34"/>
  <c r="C21" i="34"/>
  <c r="C22" i="34"/>
  <c r="C23" i="34"/>
  <c r="C24" i="34"/>
  <c r="C25" i="34"/>
  <c r="C26" i="34"/>
  <c r="C27" i="34"/>
  <c r="C28" i="34"/>
  <c r="C29" i="34"/>
  <c r="C30" i="34"/>
  <c r="C31" i="34"/>
  <c r="C32" i="34"/>
  <c r="C33" i="34"/>
  <c r="C34" i="34"/>
  <c r="C35" i="34"/>
  <c r="C36" i="34"/>
  <c r="C37" i="34"/>
  <c r="C9" i="34"/>
  <c r="J12" i="27" s="1"/>
  <c r="J7" i="34"/>
  <c r="K7" i="34"/>
  <c r="L7" i="34"/>
  <c r="M7" i="34"/>
  <c r="N7" i="34"/>
  <c r="J9" i="27" l="1"/>
  <c r="J11" i="27"/>
  <c r="J10" i="27"/>
  <c r="O9" i="27"/>
  <c r="O10" i="27"/>
  <c r="O11" i="27"/>
  <c r="O12" i="27"/>
  <c r="E11" i="27"/>
  <c r="E10" i="27"/>
  <c r="E9" i="27"/>
  <c r="E12" i="27"/>
  <c r="P18" i="19"/>
  <c r="P17" i="19"/>
  <c r="P16" i="19"/>
  <c r="P15" i="19"/>
  <c r="P14" i="19"/>
  <c r="P13" i="19"/>
  <c r="P12" i="19"/>
  <c r="P11" i="19"/>
  <c r="P10" i="19"/>
  <c r="P9" i="19"/>
  <c r="P8" i="19"/>
  <c r="P7" i="19"/>
  <c r="P6" i="19"/>
  <c r="L43" i="19"/>
  <c r="L42" i="19"/>
  <c r="L41" i="19"/>
  <c r="L40" i="19"/>
  <c r="L39" i="19"/>
  <c r="L38" i="19"/>
  <c r="L37" i="19"/>
  <c r="L36" i="19"/>
  <c r="L35" i="19"/>
  <c r="L34" i="19"/>
  <c r="L33" i="19"/>
  <c r="L32" i="19"/>
  <c r="L31" i="19"/>
  <c r="L30" i="19"/>
  <c r="L29" i="19"/>
  <c r="L28" i="19"/>
  <c r="L27" i="19"/>
  <c r="L26" i="19"/>
  <c r="L25" i="19"/>
  <c r="L24" i="19"/>
  <c r="L23" i="19"/>
  <c r="L22" i="19"/>
  <c r="L21" i="19"/>
  <c r="L20" i="19"/>
  <c r="L19" i="19"/>
  <c r="L18" i="19"/>
  <c r="L17" i="19"/>
  <c r="L16" i="19"/>
  <c r="L15" i="19"/>
  <c r="L14" i="19"/>
  <c r="L13" i="19"/>
  <c r="L12" i="19"/>
  <c r="L11" i="19"/>
  <c r="L10" i="19"/>
  <c r="L9" i="19"/>
  <c r="L8" i="19"/>
  <c r="L7" i="19"/>
  <c r="L6" i="19"/>
  <c r="H51" i="19"/>
  <c r="H52" i="19"/>
  <c r="H53" i="19"/>
  <c r="H54" i="19"/>
  <c r="H55" i="19"/>
  <c r="H56" i="19"/>
  <c r="H57" i="19"/>
  <c r="H58" i="19"/>
  <c r="H59" i="19"/>
  <c r="H60" i="19"/>
  <c r="H61" i="19"/>
  <c r="H62" i="19"/>
  <c r="H63" i="19"/>
  <c r="H64" i="19"/>
  <c r="H50" i="19"/>
  <c r="H49" i="19"/>
  <c r="H48" i="19"/>
  <c r="H47" i="19"/>
  <c r="H46" i="19"/>
  <c r="H45" i="19"/>
  <c r="H44" i="19"/>
  <c r="H43" i="19"/>
  <c r="H42" i="19"/>
  <c r="H41" i="19"/>
  <c r="H40" i="19"/>
  <c r="H39" i="19"/>
  <c r="H38" i="19"/>
  <c r="H37" i="19"/>
  <c r="H36" i="19"/>
  <c r="H35" i="19"/>
  <c r="H34" i="19"/>
  <c r="H33" i="19"/>
  <c r="H32" i="19"/>
  <c r="H31" i="19"/>
  <c r="H30" i="19"/>
  <c r="H29" i="19"/>
  <c r="H28" i="19"/>
  <c r="H27" i="19"/>
  <c r="H26" i="19"/>
  <c r="H25" i="19"/>
  <c r="H24" i="19"/>
  <c r="H23" i="19"/>
  <c r="H22" i="19"/>
  <c r="H21" i="19"/>
  <c r="H20" i="19"/>
  <c r="H19" i="19"/>
  <c r="H18" i="19"/>
  <c r="H17" i="19"/>
  <c r="H16" i="19"/>
  <c r="H15" i="19"/>
  <c r="H14" i="19"/>
  <c r="H13" i="19"/>
  <c r="H12" i="19"/>
  <c r="H11" i="19"/>
  <c r="H10" i="19"/>
  <c r="H9" i="19"/>
  <c r="H8" i="19"/>
  <c r="H7" i="19"/>
  <c r="C6" i="19"/>
  <c r="H6" i="19"/>
  <c r="C91" i="19"/>
  <c r="C90" i="19"/>
  <c r="C89" i="19"/>
  <c r="C88" i="19"/>
  <c r="C87" i="19"/>
  <c r="C86" i="19"/>
  <c r="C85" i="19"/>
  <c r="C84" i="19"/>
  <c r="C83" i="19"/>
  <c r="C82" i="19"/>
  <c r="C81" i="19"/>
  <c r="C80" i="19"/>
  <c r="C79" i="19"/>
  <c r="C78" i="19"/>
  <c r="C77" i="19"/>
  <c r="C76" i="19"/>
  <c r="C75" i="19"/>
  <c r="C74" i="19"/>
  <c r="C73" i="19"/>
  <c r="C72" i="19"/>
  <c r="C71" i="19"/>
  <c r="C70" i="19"/>
  <c r="C69" i="19"/>
  <c r="C68" i="19"/>
  <c r="C67" i="19"/>
  <c r="C66" i="19"/>
  <c r="C65" i="19"/>
  <c r="C64" i="19"/>
  <c r="C63" i="19"/>
  <c r="C62" i="19"/>
  <c r="C61" i="19"/>
  <c r="C60" i="19"/>
  <c r="C59" i="19"/>
  <c r="C58" i="19"/>
  <c r="C57" i="19"/>
  <c r="C56" i="19"/>
  <c r="C55" i="19"/>
  <c r="C54" i="19"/>
  <c r="C53" i="19"/>
  <c r="C52" i="19"/>
  <c r="C51" i="19"/>
  <c r="C50" i="19"/>
  <c r="C49" i="19"/>
  <c r="C48" i="19"/>
  <c r="C47" i="19"/>
  <c r="C46" i="19"/>
  <c r="C45" i="19"/>
  <c r="C44" i="19"/>
  <c r="C43" i="19"/>
  <c r="C98" i="19" s="1"/>
  <c r="C42" i="19"/>
  <c r="C41" i="19"/>
  <c r="C40" i="19"/>
  <c r="C39" i="19"/>
  <c r="C38" i="19"/>
  <c r="C37" i="19"/>
  <c r="C36" i="19"/>
  <c r="C35" i="19"/>
  <c r="C34" i="19"/>
  <c r="C33" i="19"/>
  <c r="C32" i="19"/>
  <c r="C31" i="19"/>
  <c r="C30" i="19"/>
  <c r="C29" i="19"/>
  <c r="C28" i="19"/>
  <c r="C27" i="19"/>
  <c r="C26" i="19"/>
  <c r="C25" i="19"/>
  <c r="C24" i="19"/>
  <c r="C23" i="19"/>
  <c r="C22" i="19"/>
  <c r="C21" i="19"/>
  <c r="C20" i="19"/>
  <c r="C19" i="19"/>
  <c r="C18" i="19"/>
  <c r="C17" i="19"/>
  <c r="C16" i="19"/>
  <c r="C15" i="19"/>
  <c r="C14" i="19"/>
  <c r="C13" i="19"/>
  <c r="C12" i="19"/>
  <c r="C11" i="19"/>
  <c r="C10" i="19"/>
  <c r="C9" i="19"/>
  <c r="C8" i="19"/>
  <c r="C7" i="19"/>
  <c r="H201" i="33"/>
  <c r="G201" i="33"/>
  <c r="C9" i="27" s="1"/>
  <c r="H189" i="33"/>
  <c r="G189" i="33"/>
  <c r="H67" i="19" l="1"/>
  <c r="H9" i="27"/>
  <c r="C99" i="19"/>
  <c r="G202" i="33"/>
  <c r="I24" i="18"/>
  <c r="C10" i="27"/>
  <c r="Q24" i="18"/>
  <c r="C11" i="27"/>
  <c r="M24" i="18"/>
  <c r="C12" i="27"/>
  <c r="P20" i="19"/>
  <c r="H202" i="33"/>
  <c r="L45" i="19"/>
  <c r="G15" i="8" l="1"/>
  <c r="H14" i="8"/>
  <c r="H13" i="8"/>
  <c r="G13" i="8"/>
  <c r="H12" i="8"/>
  <c r="D15" i="8"/>
  <c r="D14" i="8"/>
  <c r="C5" i="22"/>
  <c r="C6" i="22" s="1"/>
  <c r="B12" i="22"/>
  <c r="B11" i="22"/>
  <c r="B10" i="22"/>
  <c r="B9" i="22"/>
  <c r="B8" i="22"/>
  <c r="B7" i="22"/>
  <c r="B7" i="24"/>
  <c r="C7" i="24" s="1"/>
  <c r="B6" i="24"/>
  <c r="C6" i="24" s="1"/>
  <c r="B5" i="24"/>
  <c r="C5" i="24" s="1"/>
  <c r="B4" i="24"/>
  <c r="C4" i="24" s="1"/>
  <c r="B3" i="24"/>
  <c r="C3" i="24" s="1"/>
  <c r="B2" i="24"/>
  <c r="C2" i="24" s="1"/>
  <c r="B7" i="21"/>
  <c r="C7" i="21" s="1"/>
  <c r="B6" i="21"/>
  <c r="C6" i="21" s="1"/>
  <c r="B5" i="21"/>
  <c r="C5" i="21" s="1"/>
  <c r="B4" i="21"/>
  <c r="C4" i="21" s="1"/>
  <c r="B3" i="21"/>
  <c r="C3" i="21" s="1"/>
  <c r="C2" i="21"/>
  <c r="H9" i="8"/>
  <c r="C9" i="22" l="1"/>
  <c r="C11" i="22"/>
  <c r="C10" i="22"/>
  <c r="C12" i="22"/>
  <c r="C7" i="22"/>
  <c r="C8" i="22"/>
  <c r="C16" i="22"/>
  <c r="E12" i="8"/>
  <c r="G12" i="8" s="1"/>
  <c r="I12" i="8" s="1"/>
  <c r="H15" i="8" l="1"/>
  <c r="G14" i="8"/>
  <c r="C14" i="22"/>
  <c r="I8" i="8"/>
  <c r="E8" i="30"/>
  <c r="I13" i="8" s="1"/>
  <c r="E6" i="30"/>
  <c r="E5" i="30"/>
  <c r="B19" i="30"/>
  <c r="D10" i="8"/>
  <c r="I14" i="8" l="1"/>
  <c r="J14" i="8" s="1"/>
  <c r="I15" i="8"/>
  <c r="J15" i="8" s="1"/>
  <c r="I9" i="8"/>
  <c r="J9" i="8" s="1"/>
  <c r="I5" i="8"/>
  <c r="J5" i="8" s="1"/>
  <c r="I6" i="8"/>
  <c r="J6" i="8" s="1"/>
  <c r="I7" i="8"/>
  <c r="J7" i="8" s="1"/>
  <c r="I4" i="8"/>
  <c r="J4" i="8" s="1"/>
  <c r="C8" i="21"/>
  <c r="C8" i="24"/>
  <c r="C94" i="19"/>
  <c r="B12" i="27"/>
  <c r="G12" i="27" s="1"/>
  <c r="B11" i="27"/>
  <c r="G11" i="27" s="1"/>
  <c r="D18" i="23"/>
  <c r="D19" i="23" s="1"/>
  <c r="H10" i="8"/>
  <c r="G47" i="8"/>
  <c r="C9" i="9"/>
  <c r="I26" i="8"/>
  <c r="I19" i="8"/>
  <c r="I20" i="8" s="1"/>
  <c r="D9" i="9" s="1"/>
  <c r="I24" i="8"/>
  <c r="I27" i="8"/>
  <c r="J8" i="8"/>
  <c r="R12" i="27"/>
  <c r="M12" i="27"/>
  <c r="H12" i="27"/>
  <c r="R11" i="27"/>
  <c r="M11" i="27"/>
  <c r="H11" i="27"/>
  <c r="R10" i="27"/>
  <c r="M10" i="27"/>
  <c r="H10" i="27"/>
  <c r="R9" i="27"/>
  <c r="M9" i="27"/>
  <c r="H35" i="8"/>
  <c r="C11" i="9" s="1"/>
  <c r="P24" i="19"/>
  <c r="B9" i="27" s="1"/>
  <c r="G9" i="27" s="1"/>
  <c r="Q21" i="18"/>
  <c r="M21" i="18"/>
  <c r="S19" i="18"/>
  <c r="O19" i="18"/>
  <c r="K19" i="18"/>
  <c r="K15" i="18"/>
  <c r="S14" i="18"/>
  <c r="O14" i="18"/>
  <c r="K14" i="18"/>
  <c r="S13" i="18"/>
  <c r="O13" i="18"/>
  <c r="S12" i="18"/>
  <c r="O12" i="18"/>
  <c r="K12" i="18"/>
  <c r="S11" i="18"/>
  <c r="O11" i="18"/>
  <c r="K11" i="18"/>
  <c r="I46" i="8"/>
  <c r="I29" i="8"/>
  <c r="I51" i="8"/>
  <c r="I52" i="8"/>
  <c r="I53" i="8"/>
  <c r="I50" i="8"/>
  <c r="I43" i="8"/>
  <c r="I44" i="8"/>
  <c r="I45" i="8"/>
  <c r="I28" i="8"/>
  <c r="I30" i="8"/>
  <c r="I31" i="8"/>
  <c r="I25" i="8"/>
  <c r="I32" i="8"/>
  <c r="I33" i="8"/>
  <c r="I34" i="8"/>
  <c r="B25" i="9"/>
  <c r="B23" i="9"/>
  <c r="B21" i="9"/>
  <c r="B26" i="9"/>
  <c r="H47" i="8"/>
  <c r="G57" i="8"/>
  <c r="B15" i="9" s="1"/>
  <c r="B9" i="9"/>
  <c r="I47" i="8" l="1"/>
  <c r="D12" i="23"/>
  <c r="K13" i="18"/>
  <c r="C102" i="19"/>
  <c r="L51" i="19"/>
  <c r="L9" i="27"/>
  <c r="Q9" i="27"/>
  <c r="Q11" i="27"/>
  <c r="L11" i="27"/>
  <c r="Q12" i="27"/>
  <c r="L12" i="27"/>
  <c r="H70" i="19"/>
  <c r="B10" i="27"/>
  <c r="G10" i="27" s="1"/>
  <c r="G13" i="27" s="1"/>
  <c r="I10" i="8"/>
  <c r="J10" i="8" s="1"/>
  <c r="I35" i="8"/>
  <c r="D11" i="9" s="1"/>
  <c r="G35" i="8"/>
  <c r="B11" i="9" s="1"/>
  <c r="G16" i="8"/>
  <c r="C9" i="24"/>
  <c r="C9" i="21"/>
  <c r="H16" i="8"/>
  <c r="B7" i="9" s="1"/>
  <c r="D11" i="23"/>
  <c r="D13" i="23" s="1"/>
  <c r="D8" i="23"/>
  <c r="D14" i="23" l="1"/>
  <c r="D21" i="23" s="1"/>
  <c r="D24" i="23" s="1"/>
  <c r="M25" i="18"/>
  <c r="I25" i="18"/>
  <c r="K2" i="19"/>
  <c r="Q25" i="18"/>
  <c r="R8" i="18" s="1"/>
  <c r="Q10" i="27"/>
  <c r="Q13" i="27" s="1"/>
  <c r="L10" i="27"/>
  <c r="L13" i="27" s="1"/>
  <c r="I16" i="8"/>
  <c r="C7" i="9" s="1"/>
  <c r="J12" i="8"/>
  <c r="J13" i="8"/>
  <c r="G38" i="8"/>
  <c r="L18" i="27" l="1"/>
  <c r="L19" i="27"/>
  <c r="J18" i="18"/>
  <c r="K18" i="18" s="1"/>
  <c r="J8" i="18"/>
  <c r="R18" i="18"/>
  <c r="S18" i="18" s="1"/>
  <c r="N8" i="18"/>
  <c r="O8" i="18" s="1"/>
  <c r="N18" i="18"/>
  <c r="O18" i="18" s="1"/>
  <c r="L21" i="27"/>
  <c r="L20" i="27"/>
  <c r="L22" i="27"/>
  <c r="J16" i="8"/>
  <c r="D7" i="9" s="1"/>
  <c r="G39" i="8"/>
  <c r="B13" i="9" s="1"/>
  <c r="B17" i="9" s="1"/>
  <c r="O21" i="18" l="1"/>
  <c r="N21" i="18"/>
  <c r="O22" i="18" s="1"/>
  <c r="J21" i="18"/>
  <c r="K22" i="18" s="1"/>
  <c r="K8" i="18"/>
  <c r="K21" i="18" s="1"/>
  <c r="S8" i="18"/>
  <c r="S21" i="18" s="1"/>
  <c r="R21" i="18"/>
  <c r="S22" i="18" s="1"/>
  <c r="H38" i="8"/>
  <c r="H39" i="8" s="1"/>
  <c r="C13" i="9" s="1"/>
  <c r="L23" i="27"/>
  <c r="H55" i="8" s="1"/>
  <c r="H56" i="8" l="1"/>
  <c r="H57" i="8" s="1"/>
  <c r="C15" i="9" s="1"/>
  <c r="C17" i="9" s="1"/>
  <c r="I38" i="8"/>
  <c r="I39" i="8" s="1"/>
  <c r="D13" i="9" s="1"/>
  <c r="I55" i="8"/>
  <c r="I56" i="8" l="1"/>
  <c r="I57" i="8" s="1"/>
  <c r="D15" i="9" s="1"/>
  <c r="D17"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Cheatham, Misty</author>
    <author>Rose, Lisette</author>
  </authors>
  <commentList>
    <comment ref="I3" authorId="0" shapeId="0" xr:uid="{00000000-0006-0000-0200-000001000000}">
      <text>
        <r>
          <rPr>
            <b/>
            <sz val="9"/>
            <color indexed="81"/>
            <rFont val="Tahoma"/>
            <family val="2"/>
          </rPr>
          <t>Cheatham, Misty:</t>
        </r>
        <r>
          <rPr>
            <sz val="9"/>
            <color indexed="81"/>
            <rFont val="Tahoma"/>
            <family val="2"/>
          </rPr>
          <t xml:space="preserve">
assumes 
Delta Dental
Jefferson
RCCD</t>
        </r>
      </text>
    </comment>
    <comment ref="H4" authorId="0" shapeId="0" xr:uid="{00000000-0006-0000-0200-000002000000}">
      <text>
        <r>
          <rPr>
            <b/>
            <sz val="9"/>
            <color indexed="81"/>
            <rFont val="Tahoma"/>
            <family val="2"/>
          </rPr>
          <t>Cheatham, Misty:</t>
        </r>
        <r>
          <rPr>
            <sz val="9"/>
            <color indexed="81"/>
            <rFont val="Tahoma"/>
            <family val="2"/>
          </rPr>
          <t xml:space="preserve">
assumes step 1</t>
        </r>
      </text>
    </comment>
    <comment ref="I4" authorId="0" shapeId="0" xr:uid="{00000000-0006-0000-0200-000003000000}">
      <text>
        <r>
          <rPr>
            <b/>
            <sz val="9"/>
            <color indexed="81"/>
            <rFont val="Tahoma"/>
            <family val="2"/>
          </rPr>
          <t>Cheatham, Misty:</t>
        </r>
        <r>
          <rPr>
            <sz val="9"/>
            <color indexed="81"/>
            <rFont val="Tahoma"/>
            <family val="2"/>
          </rPr>
          <t xml:space="preserve">
assumes employee is on STRS &amp; DD, Jefferson Life, RCCD</t>
        </r>
      </text>
    </comment>
    <comment ref="H5" authorId="0" shapeId="0" xr:uid="{00000000-0006-0000-0200-000004000000}">
      <text>
        <r>
          <rPr>
            <b/>
            <sz val="9"/>
            <color indexed="81"/>
            <rFont val="Tahoma"/>
            <family val="2"/>
          </rPr>
          <t>Cheatham, Misty:</t>
        </r>
        <r>
          <rPr>
            <sz val="9"/>
            <color indexed="81"/>
            <rFont val="Tahoma"/>
            <family val="2"/>
          </rPr>
          <t xml:space="preserve">
assumes step 1</t>
        </r>
      </text>
    </comment>
    <comment ref="I5" authorId="0" shapeId="0" xr:uid="{00000000-0006-0000-0200-000005000000}">
      <text>
        <r>
          <rPr>
            <b/>
            <sz val="9"/>
            <color indexed="81"/>
            <rFont val="Tahoma"/>
            <family val="2"/>
          </rPr>
          <t>Cheatham, Misty:</t>
        </r>
        <r>
          <rPr>
            <sz val="9"/>
            <color indexed="81"/>
            <rFont val="Tahoma"/>
            <family val="2"/>
          </rPr>
          <t xml:space="preserve">
assumes employee is on PERS &amp; DD, Jefferson Life, RCCD</t>
        </r>
      </text>
    </comment>
    <comment ref="H6" authorId="0" shapeId="0" xr:uid="{00000000-0006-0000-0200-000006000000}">
      <text>
        <r>
          <rPr>
            <b/>
            <sz val="9"/>
            <color indexed="81"/>
            <rFont val="Tahoma"/>
            <family val="2"/>
          </rPr>
          <t>Cheatham, Misty:</t>
        </r>
        <r>
          <rPr>
            <sz val="9"/>
            <color indexed="81"/>
            <rFont val="Tahoma"/>
            <family val="2"/>
          </rPr>
          <t xml:space="preserve">
assumes step 1</t>
        </r>
      </text>
    </comment>
    <comment ref="I6" authorId="0" shapeId="0" xr:uid="{00000000-0006-0000-0200-000007000000}">
      <text>
        <r>
          <rPr>
            <b/>
            <sz val="9"/>
            <color indexed="81"/>
            <rFont val="Tahoma"/>
            <family val="2"/>
          </rPr>
          <t>Cheatham, Misty:</t>
        </r>
        <r>
          <rPr>
            <sz val="9"/>
            <color indexed="81"/>
            <rFont val="Tahoma"/>
            <family val="2"/>
          </rPr>
          <t xml:space="preserve">
assumes employee is on PERS &amp; DD, Jefferson Life, RCCD</t>
        </r>
      </text>
    </comment>
    <comment ref="H7" authorId="0" shapeId="0" xr:uid="{00000000-0006-0000-0200-000008000000}">
      <text>
        <r>
          <rPr>
            <b/>
            <sz val="9"/>
            <color indexed="81"/>
            <rFont val="Tahoma"/>
            <family val="2"/>
          </rPr>
          <t>Cheatham, Misty:</t>
        </r>
        <r>
          <rPr>
            <sz val="9"/>
            <color indexed="81"/>
            <rFont val="Tahoma"/>
            <family val="2"/>
          </rPr>
          <t xml:space="preserve">
assumes step 1</t>
        </r>
      </text>
    </comment>
    <comment ref="I7" authorId="0" shapeId="0" xr:uid="{00000000-0006-0000-0200-000009000000}">
      <text>
        <r>
          <rPr>
            <b/>
            <sz val="9"/>
            <color indexed="81"/>
            <rFont val="Tahoma"/>
            <family val="2"/>
          </rPr>
          <t>Cheatham, Misty:</t>
        </r>
        <r>
          <rPr>
            <sz val="9"/>
            <color indexed="81"/>
            <rFont val="Tahoma"/>
            <family val="2"/>
          </rPr>
          <t xml:space="preserve">
assumes employee is on PERS &amp; DD, Jefferson Life, RCCD</t>
        </r>
      </text>
    </comment>
    <comment ref="C8" authorId="0" shapeId="0" xr:uid="{00000000-0006-0000-0200-00000A000000}">
      <text>
        <r>
          <rPr>
            <sz val="10"/>
            <rFont val="Arial"/>
          </rPr>
          <t>NC Business Svcs:
Enter Permanent PT FTE. To calculate FTE, divide hours worked per week by 40 hours</t>
        </r>
      </text>
    </comment>
    <comment ref="H8" authorId="0" shapeId="0" xr:uid="{00000000-0006-0000-0200-00000B000000}">
      <text>
        <r>
          <rPr>
            <b/>
            <sz val="9"/>
            <color indexed="81"/>
            <rFont val="Tahoma"/>
            <family val="2"/>
          </rPr>
          <t>Cheatham, Misty:</t>
        </r>
        <r>
          <rPr>
            <sz val="9"/>
            <color indexed="81"/>
            <rFont val="Tahoma"/>
            <family val="2"/>
          </rPr>
          <t xml:space="preserve">
assumes step 1</t>
        </r>
      </text>
    </comment>
    <comment ref="I8" authorId="0" shapeId="0" xr:uid="{00000000-0006-0000-0200-00000C000000}">
      <text>
        <r>
          <rPr>
            <b/>
            <sz val="9"/>
            <color indexed="81"/>
            <rFont val="Tahoma"/>
            <family val="2"/>
          </rPr>
          <t>Cheatham, Misty:</t>
        </r>
        <r>
          <rPr>
            <sz val="9"/>
            <color indexed="81"/>
            <rFont val="Tahoma"/>
            <family val="2"/>
          </rPr>
          <t xml:space="preserve">
assumes employee is on PERS &amp; DD, Jefferson Life, RCCD for FTE &gt;= 0.5 and PARS for FTE &lt; 0.5</t>
        </r>
      </text>
    </comment>
    <comment ref="C9" authorId="0" shapeId="0" xr:uid="{00000000-0006-0000-0200-00000D000000}">
      <text>
        <r>
          <rPr>
            <sz val="10"/>
            <rFont val="Arial"/>
          </rPr>
          <t>NC Business Svcs:
Enter Number of FT faculty</t>
        </r>
      </text>
    </comment>
    <comment ref="H9" authorId="0" shapeId="0" xr:uid="{00000000-0006-0000-0200-00000E000000}">
      <text>
        <r>
          <rPr>
            <b/>
            <sz val="9"/>
            <color indexed="81"/>
            <rFont val="Tahoma"/>
            <family val="2"/>
          </rPr>
          <t>Cheatham, Misty:</t>
        </r>
        <r>
          <rPr>
            <sz val="9"/>
            <color indexed="81"/>
            <rFont val="Tahoma"/>
            <family val="2"/>
          </rPr>
          <t xml:space="preserve">
assumes step H-6</t>
        </r>
      </text>
    </comment>
    <comment ref="I9" authorId="0" shapeId="0" xr:uid="{00000000-0006-0000-0200-00000F000000}">
      <text>
        <r>
          <rPr>
            <b/>
            <sz val="9"/>
            <color indexed="81"/>
            <rFont val="Tahoma"/>
            <family val="2"/>
          </rPr>
          <t>Cheatham, Misty:</t>
        </r>
        <r>
          <rPr>
            <sz val="9"/>
            <color indexed="81"/>
            <rFont val="Tahoma"/>
            <family val="2"/>
          </rPr>
          <t xml:space="preserve">
assumes employee is on STRS &amp; DD, Jefferson Life, RCCD</t>
        </r>
      </text>
    </comment>
    <comment ref="C10" authorId="0" shapeId="0" xr:uid="{00000000-0006-0000-0200-000010000000}">
      <text>
        <r>
          <rPr>
            <sz val="10"/>
            <rFont val="Arial"/>
          </rPr>
          <t>NC Business Services:
Enter number of FT Counselors/Librarians</t>
        </r>
      </text>
    </comment>
    <comment ref="H10" authorId="0" shapeId="0" xr:uid="{00000000-0006-0000-0200-000011000000}">
      <text>
        <r>
          <rPr>
            <b/>
            <sz val="9"/>
            <color indexed="81"/>
            <rFont val="Tahoma"/>
            <family val="2"/>
          </rPr>
          <t>Cheatham, Misty:</t>
        </r>
        <r>
          <rPr>
            <sz val="9"/>
            <color indexed="81"/>
            <rFont val="Tahoma"/>
            <family val="2"/>
          </rPr>
          <t xml:space="preserve">
assumes step H-6</t>
        </r>
      </text>
    </comment>
    <comment ref="I10" authorId="0" shapeId="0" xr:uid="{00000000-0006-0000-0200-000012000000}">
      <text>
        <r>
          <rPr>
            <b/>
            <sz val="9"/>
            <color indexed="81"/>
            <rFont val="Tahoma"/>
            <family val="2"/>
          </rPr>
          <t>Cheatham, Misty:</t>
        </r>
        <r>
          <rPr>
            <sz val="9"/>
            <color indexed="81"/>
            <rFont val="Tahoma"/>
            <family val="2"/>
          </rPr>
          <t xml:space="preserve">
Assumes the employee is on STRS  &amp; DD, Jefferson Life, RCCD</t>
        </r>
      </text>
    </comment>
    <comment ref="C12" authorId="0" shapeId="0" xr:uid="{00000000-0006-0000-0200-000013000000}">
      <text>
        <r>
          <rPr>
            <sz val="10"/>
            <rFont val="Arial"/>
          </rPr>
          <t>NC Business Svcs:
Enter Approximate annual hours required</t>
        </r>
      </text>
    </comment>
    <comment ref="E12" authorId="1" shapeId="0" xr:uid="{00000000-0006-0000-0200-000014000000}">
      <text>
        <r>
          <rPr>
            <sz val="9"/>
            <color indexed="81"/>
            <rFont val="Tahoma"/>
            <family val="2"/>
          </rPr>
          <t xml:space="preserve">Effective January 2021, minimum wage rates increased to $14/hr.
</t>
        </r>
      </text>
    </comment>
    <comment ref="I12" authorId="0" shapeId="0" xr:uid="{00000000-0006-0000-0200-000015000000}">
      <text>
        <r>
          <rPr>
            <b/>
            <sz val="9"/>
            <color indexed="81"/>
            <rFont val="Tahoma"/>
            <family val="2"/>
          </rPr>
          <t>Cheatham, Misty:</t>
        </r>
        <r>
          <rPr>
            <sz val="9"/>
            <color indexed="81"/>
            <rFont val="Tahoma"/>
            <family val="2"/>
          </rPr>
          <t xml:space="preserve">
assumes employee is on PARS</t>
        </r>
      </text>
    </comment>
    <comment ref="C13" authorId="0" shapeId="0" xr:uid="{00000000-0006-0000-0200-000016000000}">
      <text>
        <r>
          <rPr>
            <sz val="10"/>
            <rFont val="Arial"/>
          </rPr>
          <t>NC Business Svcs:
Enter Approximate annual hours required</t>
        </r>
      </text>
    </comment>
    <comment ref="E13" authorId="1" shapeId="0" xr:uid="{00000000-0006-0000-0200-000017000000}">
      <text>
        <r>
          <rPr>
            <sz val="9"/>
            <color indexed="81"/>
            <rFont val="Tahoma"/>
            <family val="2"/>
          </rPr>
          <t xml:space="preserve">Effective January 2021, minimum wage rates increased to $14/hr.
</t>
        </r>
      </text>
    </comment>
    <comment ref="I13" authorId="0" shapeId="0" xr:uid="{00000000-0006-0000-0200-000018000000}">
      <text>
        <r>
          <rPr>
            <b/>
            <sz val="9"/>
            <color indexed="81"/>
            <rFont val="Tahoma"/>
            <family val="2"/>
          </rPr>
          <t>Cheatham, Misty:</t>
        </r>
        <r>
          <rPr>
            <sz val="9"/>
            <color indexed="81"/>
            <rFont val="Tahoma"/>
            <family val="2"/>
          </rPr>
          <t xml:space="preserve">
assumed student employee fixed charges</t>
        </r>
      </text>
    </comment>
    <comment ref="C14" authorId="0" shapeId="0" xr:uid="{00000000-0006-0000-0200-000019000000}">
      <text>
        <r>
          <rPr>
            <sz val="10"/>
            <rFont val="Arial"/>
          </rPr>
          <t>Enter faculty load in FTE. 1 1FTE = 15 units per semester</t>
        </r>
      </text>
    </comment>
    <comment ref="D14" authorId="0" shapeId="0" xr:uid="{00000000-0006-0000-0200-00001A000000}">
      <text>
        <r>
          <rPr>
            <b/>
            <sz val="9"/>
            <color indexed="81"/>
            <rFont val="Tahoma"/>
            <family val="2"/>
          </rPr>
          <t>Cheatham, Misty:</t>
        </r>
        <r>
          <rPr>
            <sz val="9"/>
            <color indexed="81"/>
            <rFont val="Tahoma"/>
            <family val="2"/>
          </rPr>
          <t xml:space="preserve">
hourly rate at group 3, step 3</t>
        </r>
      </text>
    </comment>
    <comment ref="I14" authorId="0" shapeId="0" xr:uid="{00000000-0006-0000-0200-00001B000000}">
      <text>
        <r>
          <rPr>
            <b/>
            <sz val="9"/>
            <color indexed="81"/>
            <rFont val="Tahoma"/>
            <family val="2"/>
          </rPr>
          <t>Cheatham, Misty:</t>
        </r>
        <r>
          <rPr>
            <sz val="9"/>
            <color indexed="81"/>
            <rFont val="Tahoma"/>
            <family val="2"/>
          </rPr>
          <t xml:space="preserve">
assuming employee is on STRS</t>
        </r>
      </text>
    </comment>
    <comment ref="C15" authorId="0" shapeId="0" xr:uid="{00000000-0006-0000-0200-00001C000000}">
      <text>
        <r>
          <rPr>
            <sz val="10"/>
            <rFont val="Arial"/>
          </rPr>
          <t>Enter faculty load in FTE. 1 1FTE = 15 units per semester</t>
        </r>
      </text>
    </comment>
    <comment ref="D15" authorId="0" shapeId="0" xr:uid="{00000000-0006-0000-0200-00001D000000}">
      <text>
        <r>
          <rPr>
            <b/>
            <sz val="9"/>
            <color indexed="81"/>
            <rFont val="Tahoma"/>
            <family val="2"/>
          </rPr>
          <t>Cheatham, Misty:</t>
        </r>
        <r>
          <rPr>
            <sz val="9"/>
            <color indexed="81"/>
            <rFont val="Tahoma"/>
            <family val="2"/>
          </rPr>
          <t xml:space="preserve">
hourly rate at group 3, step 3</t>
        </r>
      </text>
    </comment>
    <comment ref="I15" authorId="0" shapeId="0" xr:uid="{00000000-0006-0000-0200-00001E000000}">
      <text>
        <r>
          <rPr>
            <b/>
            <sz val="9"/>
            <color indexed="81"/>
            <rFont val="Tahoma"/>
            <family val="2"/>
          </rPr>
          <t>Cheatham, Misty:</t>
        </r>
        <r>
          <rPr>
            <sz val="9"/>
            <color indexed="81"/>
            <rFont val="Tahoma"/>
            <family val="2"/>
          </rPr>
          <t xml:space="preserve">
assuming employee is on STRS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Erin Power</author>
    <author>Cheatham, Misty</author>
  </authors>
  <commentList>
    <comment ref="D11" authorId="0" shapeId="0" xr:uid="{00000000-0006-0000-0A00-000001000000}">
      <text>
        <r>
          <rPr>
            <sz val="10"/>
            <rFont val="Arial"/>
          </rPr>
          <t xml:space="preserve">NC Business Svcs:
Estimated Life-cycle of a computer is 3-5 years.
</t>
        </r>
      </text>
    </comment>
    <comment ref="D12" authorId="0" shapeId="0" xr:uid="{00000000-0006-0000-0A00-000002000000}">
      <text>
        <r>
          <rPr>
            <sz val="10"/>
            <rFont val="Arial"/>
          </rPr>
          <t xml:space="preserve">NC Business Services:
01/15/20 - updated - see back up: $180,000/6,000
$125,000/6,000 per Shirley McGraw
</t>
        </r>
      </text>
    </comment>
    <comment ref="D17" authorId="1" shapeId="0" xr:uid="{00000000-0006-0000-0A00-000003000000}">
      <text>
        <r>
          <rPr>
            <b/>
            <sz val="9"/>
            <color indexed="81"/>
            <rFont val="Tahoma"/>
            <family val="2"/>
          </rPr>
          <t>Cheatham, Misty:</t>
        </r>
        <r>
          <rPr>
            <sz val="9"/>
            <color indexed="81"/>
            <rFont val="Tahoma"/>
            <family val="2"/>
          </rPr>
          <t xml:space="preserve">
based on Western Data contract see cell D12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Cheatham, Misty</author>
  </authors>
  <commentList>
    <comment ref="B8" authorId="0" shapeId="0" xr:uid="{00000000-0006-0000-0B00-000001000000}">
      <text>
        <r>
          <rPr>
            <b/>
            <sz val="9"/>
            <color indexed="81"/>
            <rFont val="Tahoma"/>
            <family val="2"/>
          </rPr>
          <t>Cheatham, Misty:</t>
        </r>
        <r>
          <rPr>
            <sz val="9"/>
            <color indexed="81"/>
            <rFont val="Tahoma"/>
            <family val="2"/>
          </rPr>
          <t xml:space="preserve">
these pull from the Fusion GSF by Location sheet.  Make sure they are linked properly</t>
        </r>
      </text>
    </comment>
    <comment ref="C8" authorId="0" shapeId="0" xr:uid="{00000000-0006-0000-0B00-000002000000}">
      <text>
        <r>
          <rPr>
            <b/>
            <sz val="9"/>
            <color indexed="81"/>
            <rFont val="Tahoma"/>
            <family val="2"/>
          </rPr>
          <t>Cheatham, Misty:</t>
        </r>
        <r>
          <rPr>
            <sz val="9"/>
            <color indexed="81"/>
            <rFont val="Tahoma"/>
            <family val="2"/>
          </rPr>
          <t xml:space="preserve">
this data pulls from the bldg_summary all 01-15-20 (hidden)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Rose, Lisette</author>
    <author>Godin, Norm</author>
    <author>xp</author>
    <author>Cheatham, Misty</author>
    <author>Wright, Linda</author>
  </authors>
  <commentList>
    <comment ref="B1" authorId="0" shapeId="0" xr:uid="{00000000-0006-0000-0C00-000001000000}">
      <text>
        <r>
          <rPr>
            <b/>
            <sz val="9"/>
            <color indexed="81"/>
            <rFont val="Tahoma"/>
            <family val="2"/>
          </rPr>
          <t>Rose, Lisette:</t>
        </r>
        <r>
          <rPr>
            <sz val="9"/>
            <color indexed="81"/>
            <rFont val="Tahoma"/>
            <family val="2"/>
          </rPr>
          <t xml:space="preserve">
7/25/17- ckd with Beth, leave as is</t>
        </r>
      </text>
    </comment>
    <comment ref="F8" authorId="1" shapeId="0" xr:uid="{00000000-0006-0000-0C00-000002000000}">
      <text>
        <r>
          <rPr>
            <b/>
            <sz val="9"/>
            <color indexed="81"/>
            <rFont val="Tahoma"/>
            <family val="2"/>
          </rPr>
          <t>09-30-21:  
Kept standard of</t>
        </r>
        <r>
          <rPr>
            <sz val="9"/>
            <color indexed="81"/>
            <rFont val="Tahoma"/>
            <family val="2"/>
          </rPr>
          <t xml:space="preserve"> 16,700 GSF per Dr. Collins. MRT. </t>
        </r>
        <r>
          <rPr>
            <b/>
            <sz val="9"/>
            <color indexed="81"/>
            <rFont val="Tahoma"/>
            <family val="2"/>
          </rPr>
          <t xml:space="preserve">
</t>
        </r>
        <r>
          <rPr>
            <sz val="9"/>
            <color indexed="81"/>
            <rFont val="Tahoma"/>
            <family val="2"/>
          </rPr>
          <t xml:space="preserve">
</t>
        </r>
      </text>
    </comment>
    <comment ref="I8" authorId="2" shapeId="0" xr:uid="{00000000-0006-0000-0C00-000003000000}">
      <text>
        <r>
          <rPr>
            <b/>
            <sz val="8"/>
            <color indexed="81"/>
            <rFont val="Tahoma"/>
            <family val="2"/>
          </rPr>
          <t xml:space="preserve">26 custodians; 
4 Sr. Custodians
2 floor care; 
</t>
        </r>
      </text>
    </comment>
    <comment ref="M8" authorId="3" shapeId="0" xr:uid="{00000000-0006-0000-0C00-000004000000}">
      <text>
        <r>
          <rPr>
            <b/>
            <sz val="9"/>
            <color indexed="81"/>
            <rFont val="Tahoma"/>
            <family val="2"/>
          </rPr>
          <t>Cheatham, Misty:</t>
        </r>
        <r>
          <rPr>
            <sz val="9"/>
            <color indexed="81"/>
            <rFont val="Tahoma"/>
            <family val="2"/>
          </rPr>
          <t xml:space="preserve">
9 -Custodians
1 - Sr. Custodian</t>
        </r>
      </text>
    </comment>
    <comment ref="Q8" authorId="4" shapeId="0" xr:uid="{00000000-0006-0000-0C00-000005000000}">
      <text>
        <r>
          <rPr>
            <sz val="9"/>
            <color indexed="81"/>
            <rFont val="Tahoma"/>
            <family val="2"/>
          </rPr>
          <t>9 - FT custodian
1 - PT Custodian @ .475
1 - Sr. Custodian</t>
        </r>
      </text>
    </comment>
    <comment ref="I11" authorId="3" shapeId="0" xr:uid="{00000000-0006-0000-0C00-000006000000}">
      <text>
        <r>
          <rPr>
            <b/>
            <sz val="9"/>
            <color indexed="81"/>
            <rFont val="Tahoma"/>
            <family val="2"/>
          </rPr>
          <t>Cheatham, Misty:</t>
        </r>
        <r>
          <rPr>
            <sz val="9"/>
            <color indexed="81"/>
            <rFont val="Tahoma"/>
            <family val="2"/>
          </rPr>
          <t xml:space="preserve">
2 - Sr Groundsperson
1 - Grounds Equip Repair
8 - Groundsperson
1 - sprinkler repair person</t>
        </r>
      </text>
    </comment>
    <comment ref="M11" authorId="3" shapeId="0" xr:uid="{00000000-0006-0000-0C00-000007000000}">
      <text>
        <r>
          <rPr>
            <b/>
            <sz val="9"/>
            <color indexed="81"/>
            <rFont val="Tahoma"/>
            <family val="2"/>
          </rPr>
          <t>Cheatham, Misty:</t>
        </r>
        <r>
          <rPr>
            <sz val="9"/>
            <color indexed="81"/>
            <rFont val="Tahoma"/>
            <family val="2"/>
          </rPr>
          <t xml:space="preserve">
1 - Sr. Groundsperson
4 - Groundsperson
1 - Sprinkler Repairperson</t>
        </r>
      </text>
    </comment>
    <comment ref="Q11" authorId="4" shapeId="0" xr:uid="{00000000-0006-0000-0C00-000008000000}">
      <text>
        <r>
          <rPr>
            <sz val="9"/>
            <color indexed="81"/>
            <rFont val="Tahoma"/>
            <family val="2"/>
          </rPr>
          <t>2 - Groundsperson
1 - Sprinkler Repairperson</t>
        </r>
      </text>
    </comment>
    <comment ref="J14" authorId="3" shapeId="0" xr:uid="{00000000-0006-0000-0C00-000009000000}">
      <text>
        <r>
          <rPr>
            <b/>
            <sz val="9"/>
            <color indexed="81"/>
            <rFont val="Tahoma"/>
            <family val="2"/>
          </rPr>
          <t>Cheatham, Misty:</t>
        </r>
        <r>
          <rPr>
            <sz val="9"/>
            <color indexed="81"/>
            <rFont val="Tahoma"/>
            <family val="2"/>
          </rPr>
          <t xml:space="preserve">
2 pools</t>
        </r>
      </text>
    </comment>
    <comment ref="F18" authorId="1" shapeId="0" xr:uid="{00000000-0006-0000-0C00-00000A000000}">
      <text>
        <r>
          <rPr>
            <b/>
            <sz val="9"/>
            <color indexed="81"/>
            <rFont val="Tahoma"/>
            <family val="2"/>
          </rPr>
          <t>09-30-21:</t>
        </r>
        <r>
          <rPr>
            <sz val="9"/>
            <color indexed="81"/>
            <rFont val="Tahoma"/>
            <family val="2"/>
          </rPr>
          <t xml:space="preserve"> Kept standard of 67,456 GSF per Dr. Collins MRT</t>
        </r>
        <r>
          <rPr>
            <b/>
            <sz val="9"/>
            <color indexed="81"/>
            <rFont val="Tahoma"/>
            <family val="2"/>
          </rPr>
          <t xml:space="preserve">
</t>
        </r>
      </text>
    </comment>
    <comment ref="I26" authorId="3" shapeId="0" xr:uid="{00000000-0006-0000-0C00-00000B000000}">
      <text>
        <r>
          <rPr>
            <b/>
            <sz val="9"/>
            <color indexed="81"/>
            <rFont val="Tahoma"/>
            <family val="2"/>
          </rPr>
          <t>Cheatham, Misty:</t>
        </r>
        <r>
          <rPr>
            <sz val="9"/>
            <color indexed="81"/>
            <rFont val="Tahoma"/>
            <family val="2"/>
          </rPr>
          <t xml:space="preserve">
kept the same</t>
        </r>
      </text>
    </comment>
    <comment ref="M26" authorId="3" shapeId="0" xr:uid="{00000000-0006-0000-0C00-00000C000000}">
      <text>
        <r>
          <rPr>
            <b/>
            <sz val="9"/>
            <color indexed="81"/>
            <rFont val="Tahoma"/>
            <family val="2"/>
          </rPr>
          <t>Cheatham, Misty:</t>
        </r>
        <r>
          <rPr>
            <sz val="9"/>
            <color indexed="81"/>
            <rFont val="Tahoma"/>
            <family val="2"/>
          </rPr>
          <t xml:space="preserve">
from MVC website</t>
        </r>
      </text>
    </comment>
    <comment ref="Q26" authorId="3" shapeId="0" xr:uid="{00000000-0006-0000-0C00-00000D000000}">
      <text>
        <r>
          <rPr>
            <b/>
            <sz val="9"/>
            <color indexed="81"/>
            <rFont val="Tahoma"/>
            <family val="2"/>
          </rPr>
          <t>Cheatham, Misty:</t>
        </r>
        <r>
          <rPr>
            <sz val="9"/>
            <color indexed="81"/>
            <rFont val="Tahoma"/>
            <family val="2"/>
          </rPr>
          <t xml:space="preserve">
left the same</t>
        </r>
      </text>
    </comment>
    <comment ref="M28" authorId="3" shapeId="0" xr:uid="{00000000-0006-0000-0C00-00000E000000}">
      <text>
        <r>
          <rPr>
            <b/>
            <sz val="9"/>
            <color indexed="81"/>
            <rFont val="Tahoma"/>
            <family val="2"/>
          </rPr>
          <t>Cheatham, Misty:</t>
        </r>
        <r>
          <rPr>
            <sz val="9"/>
            <color indexed="81"/>
            <rFont val="Tahoma"/>
            <family val="2"/>
          </rPr>
          <t xml:space="preserve">
from MVC website
</t>
        </r>
      </text>
    </comment>
    <comment ref="Q28" authorId="3" shapeId="0" xr:uid="{00000000-0006-0000-0C00-00000F000000}">
      <text>
        <r>
          <rPr>
            <b/>
            <sz val="9"/>
            <color indexed="81"/>
            <rFont val="Tahoma"/>
            <family val="2"/>
          </rPr>
          <t>Cheatham, Misty:</t>
        </r>
        <r>
          <rPr>
            <sz val="9"/>
            <color indexed="81"/>
            <rFont val="Tahoma"/>
            <family val="2"/>
          </rPr>
          <t xml:space="preserve">
left the same</t>
        </r>
      </text>
    </comment>
    <comment ref="I29" authorId="3" shapeId="0" xr:uid="{00000000-0006-0000-0C00-000010000000}">
      <text>
        <r>
          <rPr>
            <b/>
            <sz val="9"/>
            <color indexed="81"/>
            <rFont val="Tahoma"/>
            <family val="2"/>
          </rPr>
          <t>Cheatham, Misty:</t>
        </r>
        <r>
          <rPr>
            <sz val="9"/>
            <color indexed="81"/>
            <rFont val="Tahoma"/>
            <family val="2"/>
          </rPr>
          <t xml:space="preserve">
from Fusion</t>
        </r>
      </text>
    </comment>
    <comment ref="M29" authorId="3" shapeId="0" xr:uid="{00000000-0006-0000-0C00-000011000000}">
      <text>
        <r>
          <rPr>
            <b/>
            <sz val="9"/>
            <color indexed="81"/>
            <rFont val="Tahoma"/>
            <family val="2"/>
          </rPr>
          <t>Cheatham, Misty:</t>
        </r>
        <r>
          <rPr>
            <sz val="9"/>
            <color indexed="81"/>
            <rFont val="Tahoma"/>
            <family val="2"/>
          </rPr>
          <t xml:space="preserve">
from Fusion &amp; MVC website</t>
        </r>
      </text>
    </comment>
    <comment ref="Q29" authorId="3" shapeId="0" xr:uid="{00000000-0006-0000-0C00-000012000000}">
      <text>
        <r>
          <rPr>
            <b/>
            <sz val="9"/>
            <color indexed="81"/>
            <rFont val="Tahoma"/>
            <family val="2"/>
          </rPr>
          <t>Cheatham, Misty:</t>
        </r>
        <r>
          <rPr>
            <sz val="9"/>
            <color indexed="81"/>
            <rFont val="Tahoma"/>
            <family val="2"/>
          </rPr>
          <t xml:space="preserve">
from Fusion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Rose, Lisette</author>
  </authors>
  <commentList>
    <comment ref="A2" authorId="0" shapeId="0" xr:uid="{00000000-0006-0000-0D00-000001000000}">
      <text>
        <r>
          <rPr>
            <b/>
            <sz val="9"/>
            <color indexed="81"/>
            <rFont val="Tahoma"/>
            <family val="2"/>
          </rPr>
          <t>Rose, Lisette:</t>
        </r>
        <r>
          <rPr>
            <sz val="9"/>
            <color indexed="81"/>
            <rFont val="Tahoma"/>
            <family val="2"/>
          </rPr>
          <t xml:space="preserve">
To get from Fusion</t>
        </r>
      </text>
    </comment>
    <comment ref="C99" authorId="0" shapeId="0" xr:uid="{00000000-0006-0000-0D00-000002000000}">
      <text>
        <r>
          <rPr>
            <b/>
            <sz val="9"/>
            <color indexed="81"/>
            <rFont val="Tahoma"/>
            <family val="2"/>
          </rPr>
          <t>Rose, Lisette:</t>
        </r>
        <r>
          <rPr>
            <sz val="9"/>
            <color indexed="81"/>
            <rFont val="Tahoma"/>
            <family val="2"/>
          </rPr>
          <t xml:space="preserve">
ck wh checked with Roxanne Greenwood 08/08/17.</t>
        </r>
      </text>
    </comment>
  </commentList>
</comments>
</file>

<file path=xl/sharedStrings.xml><?xml version="1.0" encoding="utf-8"?>
<sst xmlns="http://schemas.openxmlformats.org/spreadsheetml/2006/main" count="2854" uniqueCount="1319">
  <si>
    <t>How to use the TCO Workbook</t>
  </si>
  <si>
    <t>Positions Section</t>
  </si>
  <si>
    <t>Choose the type of position from the dropdowns in TCO Estimator tab- Columns D-F</t>
  </si>
  <si>
    <t>New FT Faculty &amp; Counselor Equip Allocation Section</t>
  </si>
  <si>
    <t>Need to fill in the number of positions being added.  The salaries are determined by using H-6 on the salary schedules.</t>
  </si>
  <si>
    <t>An allocation per position (desk, phone, computer, bookcase, chair, etc) will automaticaly poplulate when the number of</t>
  </si>
  <si>
    <t>positions is added.  The cost of these items are updated annually on the Rate Sheet tab.</t>
  </si>
  <si>
    <t>Equipment, Supplies and Services</t>
  </si>
  <si>
    <t>Fill in expected descriptions and expected costs</t>
  </si>
  <si>
    <t>The estimator for adding new sections is calculated by taking an average of how much was spent in each discipline and dividing it by the number of sections that same year.</t>
  </si>
  <si>
    <t>Select discipline from the dropdown list and enter the number of sections for the cost data to appear.</t>
  </si>
  <si>
    <t>Technology Section</t>
  </si>
  <si>
    <t>The Technology Tab was provided by the Technology Committee to estimate costs related to computers…information is entered on that tab and pulled onto the expenses tab.</t>
  </si>
  <si>
    <t>Capital Outlay</t>
  </si>
  <si>
    <t xml:space="preserve">In using this section for construction or remodel of buildings you can refer to the color coded tabs for M&amp;O Standards and also gross square footage by location.  </t>
  </si>
  <si>
    <t>This will also help you estimate utilities on the Utilities tab which will also pull onto the Expenses tab.</t>
  </si>
  <si>
    <t>The workbook has been protected with the exception of the cells that need to be filled in.</t>
  </si>
  <si>
    <t>Total Cost of Ownership Summary</t>
  </si>
  <si>
    <t>Planning Year:</t>
  </si>
  <si>
    <t>21/22</t>
  </si>
  <si>
    <t>Project Title:</t>
  </si>
  <si>
    <t>New One-Time</t>
  </si>
  <si>
    <t>New Ongoing</t>
  </si>
  <si>
    <t>Total</t>
  </si>
  <si>
    <t>Salaries and Benefits</t>
  </si>
  <si>
    <t>New FT Faculty &amp; Counselor Equip</t>
  </si>
  <si>
    <t>Equipment, Supplies &amp; Services</t>
  </si>
  <si>
    <t>Technology</t>
  </si>
  <si>
    <t>Additional Buildings</t>
  </si>
  <si>
    <t>50% Qualifying Costs</t>
  </si>
  <si>
    <t>50% Neutral Costs</t>
  </si>
  <si>
    <t>50% Non-Qualifying Costs</t>
  </si>
  <si>
    <t>Total Cost of Ownership Estimator</t>
  </si>
  <si>
    <r>
      <t>Select  Job Title (</t>
    </r>
    <r>
      <rPr>
        <b/>
        <i/>
        <sz val="14"/>
        <color rgb="FFFFFFFF"/>
        <rFont val="Calibri"/>
        <family val="2"/>
      </rPr>
      <t>Pick from Drop Down and Cost Information will populate automatically</t>
    </r>
    <r>
      <rPr>
        <b/>
        <sz val="14"/>
        <color rgb="FFFFFFFF"/>
        <rFont val="Calibri"/>
        <family val="2"/>
      </rPr>
      <t>)</t>
    </r>
  </si>
  <si>
    <t>One Time Salary</t>
  </si>
  <si>
    <t>Ongoing Salary</t>
  </si>
  <si>
    <t>Benefits</t>
  </si>
  <si>
    <t>Certificated Administrator/Manager</t>
  </si>
  <si>
    <t>Classified Manager</t>
  </si>
  <si>
    <t>Full-Time Classified/Confidential - Position 1</t>
  </si>
  <si>
    <t>Full-Time Classified/Confidential - Position 2</t>
  </si>
  <si>
    <t xml:space="preserve">Permanent Part-Time Classified      </t>
  </si>
  <si>
    <t>Enter FTE</t>
  </si>
  <si>
    <t xml:space="preserve">Full Time Faculty  </t>
  </si>
  <si>
    <t>Enter # of FT</t>
  </si>
  <si>
    <t xml:space="preserve">Full Time Counselor/Librarian </t>
  </si>
  <si>
    <t>Select Job Title</t>
  </si>
  <si>
    <t>Rate Will Fill In automatically when selecting job title</t>
  </si>
  <si>
    <t>Ongoing? Select Yes or No</t>
  </si>
  <si>
    <r>
      <t xml:space="preserve">Short Term Non Classified  </t>
    </r>
    <r>
      <rPr>
        <b/>
        <sz val="12"/>
        <rFont val="Calibri"/>
        <family val="2"/>
      </rPr>
      <t xml:space="preserve"> </t>
    </r>
  </si>
  <si>
    <t>Enter Annual Hrs</t>
  </si>
  <si>
    <t>No</t>
  </si>
  <si>
    <t xml:space="preserve">Student Employee </t>
  </si>
  <si>
    <t>Yes</t>
  </si>
  <si>
    <t xml:space="preserve">Associate Faculty   </t>
  </si>
  <si>
    <t>Enter FTE Load</t>
  </si>
  <si>
    <t>PT Counselor or Librarian</t>
  </si>
  <si>
    <t>Salaries and Benefits Total</t>
  </si>
  <si>
    <r>
      <t>New FT Faculty &amp; Counselor Equipment Allocation</t>
    </r>
    <r>
      <rPr>
        <b/>
        <sz val="10"/>
        <rFont val="Calibri"/>
        <family val="2"/>
      </rPr>
      <t xml:space="preserve"> </t>
    </r>
  </si>
  <si>
    <t>New One Time</t>
  </si>
  <si>
    <t>Computer, Desk, Bookcase &amp; Phone</t>
  </si>
  <si>
    <t>Will Populate Automatically When Adding FT Faculty &amp; Counseling Positions&gt;&gt;&gt;&gt;&gt;&gt;&gt;</t>
  </si>
  <si>
    <t>New FT Faculty &amp; Counselor Equipment Total</t>
  </si>
  <si>
    <t xml:space="preserve">*If you are adding permanent positions, please consider additional needs in the following areas only if needed. </t>
  </si>
  <si>
    <t>Life Cycle</t>
  </si>
  <si>
    <t>Enter Description</t>
  </si>
  <si>
    <t>Equipment</t>
  </si>
  <si>
    <t>Equipment Maintenance Agreements</t>
  </si>
  <si>
    <t>Furniture and Fixtures</t>
  </si>
  <si>
    <t>Instructional Equipment</t>
  </si>
  <si>
    <t>Printing or Copying Services</t>
  </si>
  <si>
    <t>Supplies</t>
  </si>
  <si>
    <t>Advertising</t>
  </si>
  <si>
    <t>Consultants/Specialists</t>
  </si>
  <si>
    <t>Memberships/Subscriptions</t>
  </si>
  <si>
    <t>Postage/Shipping/Bulk Mailing</t>
  </si>
  <si>
    <t>Travel/Conference/Training</t>
  </si>
  <si>
    <t>Equipment, Supplies &amp; Services Total</t>
  </si>
  <si>
    <t>Computer Hardware/Software</t>
  </si>
  <si>
    <t>Enter Information on Technology Tab</t>
  </si>
  <si>
    <t>Technology Total</t>
  </si>
  <si>
    <t xml:space="preserve"> Construction/Remodel of Buildings</t>
  </si>
  <si>
    <t>Capital Outlay - Buildings</t>
  </si>
  <si>
    <t>Building Construction/Acquisition</t>
  </si>
  <si>
    <t>Building Improvement</t>
  </si>
  <si>
    <t>Site Improvement</t>
  </si>
  <si>
    <t>Other</t>
  </si>
  <si>
    <t>Capital Outlay Total</t>
  </si>
  <si>
    <t>Operating Expenses - Buildings (Refer to M&amp;O Standards Tab for Personnel needed per Square Footage)</t>
  </si>
  <si>
    <t>Building Maintenance</t>
  </si>
  <si>
    <t>Building Security</t>
  </si>
  <si>
    <t>Landscape/Hardscape Maintenance</t>
  </si>
  <si>
    <t>Telephone</t>
  </si>
  <si>
    <t>Custodial Services/Supplies</t>
  </si>
  <si>
    <t>Utilities</t>
  </si>
  <si>
    <t>Use Utilities Estimator on Utilities Tab</t>
  </si>
  <si>
    <t>Operating Expenses Total</t>
  </si>
  <si>
    <t>Total - Additional Buildings</t>
  </si>
  <si>
    <r>
      <rPr>
        <b/>
        <sz val="10"/>
        <rFont val="Arial"/>
        <family val="2"/>
      </rPr>
      <t>POSITION TITLE</t>
    </r>
  </si>
  <si>
    <t>Grade</t>
  </si>
  <si>
    <r>
      <rPr>
        <b/>
        <sz val="10"/>
        <rFont val="Arial"/>
        <family val="2"/>
      </rPr>
      <t>Step 1</t>
    </r>
  </si>
  <si>
    <r>
      <rPr>
        <b/>
        <sz val="10"/>
        <rFont val="Arial"/>
        <family val="2"/>
      </rPr>
      <t>Step 2</t>
    </r>
  </si>
  <si>
    <r>
      <rPr>
        <b/>
        <sz val="10"/>
        <rFont val="Arial"/>
        <family val="2"/>
      </rPr>
      <t>Step 3</t>
    </r>
  </si>
  <si>
    <r>
      <rPr>
        <b/>
        <sz val="10"/>
        <rFont val="Arial"/>
        <family val="2"/>
      </rPr>
      <t>Step 4</t>
    </r>
  </si>
  <si>
    <r>
      <rPr>
        <b/>
        <sz val="10"/>
        <rFont val="Arial"/>
        <family val="2"/>
      </rPr>
      <t>Market
Step 5</t>
    </r>
  </si>
  <si>
    <t>updated 09/30/21</t>
  </si>
  <si>
    <t>Accounting Services Manager</t>
  </si>
  <si>
    <t>U</t>
  </si>
  <si>
    <t>Apprenticeship Director **</t>
  </si>
  <si>
    <t>R</t>
  </si>
  <si>
    <t>Assistant Custodial Manager</t>
  </si>
  <si>
    <t>L</t>
  </si>
  <si>
    <t>Assistant Dean, CalWorks &amp; Special Funded Programs **</t>
  </si>
  <si>
    <t>S</t>
  </si>
  <si>
    <t>Assistant Director, Admissions and Records</t>
  </si>
  <si>
    <t>O</t>
  </si>
  <si>
    <t>Assistant Director, CTE Projects</t>
  </si>
  <si>
    <t>P</t>
  </si>
  <si>
    <t>Assistant Director, EOPS</t>
  </si>
  <si>
    <t>Assistant Director, Facilities, Maintenance and Operations</t>
  </si>
  <si>
    <t>Assistant Director, Instructional Design</t>
  </si>
  <si>
    <t>Assistant Director, RCCD Foundation</t>
  </si>
  <si>
    <t>T</t>
  </si>
  <si>
    <t>Assistant Director, Student Financial Services</t>
  </si>
  <si>
    <t>Q</t>
  </si>
  <si>
    <t>Assistant Director, Upward Bound</t>
  </si>
  <si>
    <t>Assistant Manager, Food Services</t>
  </si>
  <si>
    <t>Associate Dean, Academic Support</t>
  </si>
  <si>
    <t>V</t>
  </si>
  <si>
    <t>Associate Dean, Career and Technical Education</t>
  </si>
  <si>
    <t>Associate Dean, CTE/Project Director, NSF</t>
  </si>
  <si>
    <t>Associate Dean, Educational Partnerships</t>
  </si>
  <si>
    <t>Associate Dean, Grants &amp; College Support Programs **</t>
  </si>
  <si>
    <t>Associate Dean, Public Safety Education and Training</t>
  </si>
  <si>
    <t>Associate Vice Chancellor, Economic Development</t>
  </si>
  <si>
    <t>X</t>
  </si>
  <si>
    <t>Associate Vice Chancellor, Educational Services</t>
  </si>
  <si>
    <t>AB</t>
  </si>
  <si>
    <t>Associate Vice Chancellor, Educational Services and Institutional Effectiveness</t>
  </si>
  <si>
    <t>Associate Vice Chancellor, Facilities Planning &amp; Development</t>
  </si>
  <si>
    <t>Associate Vice Chancellor, Grants and Economic Development</t>
  </si>
  <si>
    <t>Associate Vice Chancellor, Information Technology &amp; Learning Services</t>
  </si>
  <si>
    <t>Associate Vice Chancellor, Strategic Communications &amp; Institutional Advancem</t>
  </si>
  <si>
    <t>Z</t>
  </si>
  <si>
    <t>Campus Administrative Support Center Supervisor *</t>
  </si>
  <si>
    <t>M</t>
  </si>
  <si>
    <t>Chief of Police</t>
  </si>
  <si>
    <t>Community Education Supervisor *</t>
  </si>
  <si>
    <t>Controller</t>
  </si>
  <si>
    <t>Y</t>
  </si>
  <si>
    <t>CTE Project Supervisor</t>
  </si>
  <si>
    <t>Custodial Manager</t>
  </si>
  <si>
    <t>N</t>
  </si>
  <si>
    <t>Dean of Instruction</t>
  </si>
  <si>
    <t>Dean of Instruction (Career &amp; Technical Education)</t>
  </si>
  <si>
    <t>Dean of Instruction (Fine and Performing Arts)</t>
  </si>
  <si>
    <t>Dean of Instruction (Language/Humanities/Social Science)</t>
  </si>
  <si>
    <t>Dean of Instruction (STEM &amp; Kinesiology)</t>
  </si>
  <si>
    <t>Dean of Instruction, CTE Programs &amp; Grants **</t>
  </si>
  <si>
    <t>Dean of Instruction, Public Safety Education and Training</t>
  </si>
  <si>
    <t>Dean, Admissions and Records</t>
  </si>
  <si>
    <t>Dean, Community Partnerships and Workforce Development</t>
  </si>
  <si>
    <t>W</t>
  </si>
  <si>
    <t>Dean, Distance Education</t>
  </si>
  <si>
    <t>Dean, Educational Services</t>
  </si>
  <si>
    <t>Dean, Enrollment Services</t>
  </si>
  <si>
    <t>Dean, Grants and Business Services</t>
  </si>
  <si>
    <t>Dean, Grants and Economic Development</t>
  </si>
  <si>
    <t>Dean, Grants and Student Equity Initiatives **</t>
  </si>
  <si>
    <t>Dean, Grants Development and Administration</t>
  </si>
  <si>
    <t>Dean, Institutional Effectiveness</t>
  </si>
  <si>
    <t>Dean, Institutional Research and Strategic Planning</t>
  </si>
  <si>
    <t>Dean, School of Nursing</t>
  </si>
  <si>
    <t>Dean, Special Funded Programs **</t>
  </si>
  <si>
    <t>Dean, Student Life</t>
  </si>
  <si>
    <t>Dean, Student Services</t>
  </si>
  <si>
    <t>Dean, Student Success and Academic Support</t>
  </si>
  <si>
    <t>Dean, Technology &amp; Learning Resources</t>
  </si>
  <si>
    <t>Director, Academic Support</t>
  </si>
  <si>
    <t>Director, Administrative Applications</t>
  </si>
  <si>
    <t>Director, Administrative Support Center</t>
  </si>
  <si>
    <t>Director, Athletic Compliance</t>
  </si>
  <si>
    <t>Director, Athletics</t>
  </si>
  <si>
    <t>Director, Business Services</t>
  </si>
  <si>
    <t>Director, Capital Planning</t>
  </si>
  <si>
    <t>Director, Career &amp; Technical Education Projects **</t>
  </si>
  <si>
    <t>Director, Career Center</t>
  </si>
  <si>
    <t>Director, Center for International Students &amp; Programs</t>
  </si>
  <si>
    <t>Director, Center for International Trade Development</t>
  </si>
  <si>
    <t>Director, Center for Social Justice and Civil Liberties</t>
  </si>
  <si>
    <t>Director, College Business Services</t>
  </si>
  <si>
    <t>Director, College Technology Support Services</t>
  </si>
  <si>
    <t>Director, Construction</t>
  </si>
  <si>
    <t>Director, Corporate and Business Development</t>
  </si>
  <si>
    <t>Director, CTE and K-14 Regional Technical Assistant Provider</t>
  </si>
  <si>
    <t>Director, Disability Support Programs **</t>
  </si>
  <si>
    <t>Director, Disabled Student Programs and Services</t>
  </si>
  <si>
    <t>Director, Enrollment Services</t>
  </si>
  <si>
    <t>Director, Facilities</t>
  </si>
  <si>
    <t>Director, Facilities Maintenance and Operations</t>
  </si>
  <si>
    <t>Director, First Year Experience **</t>
  </si>
  <si>
    <t>Director, Food Services</t>
  </si>
  <si>
    <t>Director, Foster and Kinship Care Education Program **</t>
  </si>
  <si>
    <t>Director, Government Relations</t>
  </si>
  <si>
    <t>Director, Grants</t>
  </si>
  <si>
    <t>Director, Health Services</t>
  </si>
  <si>
    <t>Director, Human Resources &amp; Employee Relations</t>
  </si>
  <si>
    <t>Director, Information Technology Infrastructure &amp; Systems</t>
  </si>
  <si>
    <t>Director, Institutional Research</t>
  </si>
  <si>
    <t>Director, Learning Resource Center</t>
  </si>
  <si>
    <t>Director, Middle College High School</t>
  </si>
  <si>
    <t>Director, Next Phase Program</t>
  </si>
  <si>
    <t>Director, Open Campus</t>
  </si>
  <si>
    <t>Director, Pathways to Excellence (Title V) **</t>
  </si>
  <si>
    <t>Director, Plant Operations &amp; Maintenance</t>
  </si>
  <si>
    <t>Director, Procurement Assistance Center **</t>
  </si>
  <si>
    <t>Director, Regional Apprenticeship and Work-Based Learning Programs</t>
  </si>
  <si>
    <t>Director, Risk Management</t>
  </si>
  <si>
    <t>Director, Software Development</t>
  </si>
  <si>
    <t>Director, Sports Information</t>
  </si>
  <si>
    <t>Director, STEM Innovation Center/Maker Space (HSI Title III/STEM Grant)</t>
  </si>
  <si>
    <t>Director, Strong Workforce Strategic Communications and Marketing</t>
  </si>
  <si>
    <t>Director, Student Access and Equity Support Programs **</t>
  </si>
  <si>
    <t>Director, Student Financial Services</t>
  </si>
  <si>
    <t>Director, Student Support Services Grant **</t>
  </si>
  <si>
    <t>Director, Title III STEM Grant **</t>
  </si>
  <si>
    <t>Director, TRiO Programs</t>
  </si>
  <si>
    <t>Director, Tritech Small Business Development Center</t>
  </si>
  <si>
    <t>Director, Upward Bound **</t>
  </si>
  <si>
    <t>Director, Upward Bound Math and Science **</t>
  </si>
  <si>
    <t>Director, Veterans Resource Center</t>
  </si>
  <si>
    <t>Director, Web Applications</t>
  </si>
  <si>
    <t>Director, Workforce Preparation Grants and Contracts **</t>
  </si>
  <si>
    <t>District Compliance Officer</t>
  </si>
  <si>
    <t>AA</t>
  </si>
  <si>
    <t>District Foundation Executive Director</t>
  </si>
  <si>
    <t>Early Childhood Education Center Manager</t>
  </si>
  <si>
    <t>Executive Director, Adult Education and Community Initiatives</t>
  </si>
  <si>
    <t>Executive Director, Corporate and Business Innovation</t>
  </si>
  <si>
    <t>Executive Director, Economic Development and Entrepreneurship</t>
  </si>
  <si>
    <t>Executive Director, External Relations and Strategic Communications</t>
  </si>
  <si>
    <t>Executive Director, Hospitality and Culinary Arts</t>
  </si>
  <si>
    <t>Executive Director, Hospitality Program</t>
  </si>
  <si>
    <t>Executive Director, Inland Empire/Strong Workforce Regional Consortium</t>
  </si>
  <si>
    <t>Executive Director, Office of Grants and Sponsored Programs</t>
  </si>
  <si>
    <t>Facilities Development Director</t>
  </si>
  <si>
    <t>General Counsel and Chief of Staff</t>
  </si>
  <si>
    <t>Grounds Supervisor *</t>
  </si>
  <si>
    <t>Health Services Supervisor *</t>
  </si>
  <si>
    <t>Human Resources Administrative Manager</t>
  </si>
  <si>
    <t>Information Architect - Open Campus**</t>
  </si>
  <si>
    <t>Instructional Media Center Manager</t>
  </si>
  <si>
    <t>Library/Learning Resources Administrative Manager</t>
  </si>
  <si>
    <t>Maintenance Manager</t>
  </si>
  <si>
    <t>Makerspace Project Supervisor</t>
  </si>
  <si>
    <t>Manager, Business Services</t>
  </si>
  <si>
    <t>Manager, District Safety and Emergency Preparedness</t>
  </si>
  <si>
    <t>Manager, Facilities, Grounds and Utilization</t>
  </si>
  <si>
    <t>Manager, Technology Support Services</t>
  </si>
  <si>
    <t>Mental Health Services Supervisor *</t>
  </si>
  <si>
    <t>Network Manager</t>
  </si>
  <si>
    <t>Outcomes Assessment Specialist **</t>
  </si>
  <si>
    <t>Outreach Services Supervisor *</t>
  </si>
  <si>
    <t>Parking Services Supervisor</t>
  </si>
  <si>
    <t>Pathways Director</t>
  </si>
  <si>
    <t>Payroll Manager</t>
  </si>
  <si>
    <t>Program Director, NSF National Center for Supply Chain Automation</t>
  </si>
  <si>
    <t>Program Director, Student Support Services **</t>
  </si>
  <si>
    <t>Program Director, Title V Grant</t>
  </si>
  <si>
    <t>Project Director, Adult Education Block Grant**</t>
  </si>
  <si>
    <t>Project Director, Foster Youth Support Network</t>
  </si>
  <si>
    <t>Project Director, Gateway to College</t>
  </si>
  <si>
    <t>Purchasing Manager</t>
  </si>
  <si>
    <t>Research and Assessment Manager</t>
  </si>
  <si>
    <t>Safety &amp; Police Administrative Supervisor</t>
  </si>
  <si>
    <t>Sergeant *</t>
  </si>
  <si>
    <t>Service Desk Manager</t>
  </si>
  <si>
    <t>Statewide Director, Center for International Trade Development</t>
  </si>
  <si>
    <t>Vice President, Academic Affairs</t>
  </si>
  <si>
    <t>Vice President, Business Services</t>
  </si>
  <si>
    <t>Vice President, Planning and Development</t>
  </si>
  <si>
    <t>Vice President, Strategic Development</t>
  </si>
  <si>
    <t>Vice President, Student Services</t>
  </si>
  <si>
    <t>Warehouse Supervisor *</t>
  </si>
  <si>
    <r>
      <rPr>
        <b/>
        <sz val="10"/>
        <color indexed="9"/>
        <rFont val="Arial"/>
        <family val="2"/>
      </rPr>
      <t>Job Description Title</t>
    </r>
  </si>
  <si>
    <r>
      <rPr>
        <b/>
        <sz val="10"/>
        <color indexed="9"/>
        <rFont val="Arial"/>
        <family val="2"/>
      </rPr>
      <t>Grade</t>
    </r>
  </si>
  <si>
    <r>
      <rPr>
        <b/>
        <sz val="10"/>
        <color indexed="9"/>
        <rFont val="Arial"/>
        <family val="2"/>
      </rPr>
      <t>Step 1</t>
    </r>
  </si>
  <si>
    <r>
      <rPr>
        <b/>
        <sz val="10"/>
        <color indexed="9"/>
        <rFont val="Arial"/>
        <family val="2"/>
      </rPr>
      <t>Step 2</t>
    </r>
  </si>
  <si>
    <r>
      <rPr>
        <b/>
        <sz val="10"/>
        <color indexed="9"/>
        <rFont val="Arial"/>
        <family val="2"/>
      </rPr>
      <t>Step 3</t>
    </r>
  </si>
  <si>
    <r>
      <rPr>
        <b/>
        <sz val="10"/>
        <color indexed="9"/>
        <rFont val="Arial"/>
        <family val="2"/>
      </rPr>
      <t>Step 4</t>
    </r>
  </si>
  <si>
    <r>
      <rPr>
        <b/>
        <sz val="10"/>
        <color indexed="9"/>
        <rFont val="Arial"/>
        <family val="2"/>
      </rPr>
      <t>Step 5</t>
    </r>
  </si>
  <si>
    <t>Academic Evaluations Specialist</t>
  </si>
  <si>
    <t>K</t>
  </si>
  <si>
    <t>updated 9/30/21</t>
  </si>
  <si>
    <t>Academic Success Coordinator, Athletics</t>
  </si>
  <si>
    <t>Accessible Technology and Media Coordinator</t>
  </si>
  <si>
    <t>Accounting Clerk</t>
  </si>
  <si>
    <t>E</t>
  </si>
  <si>
    <t>Accounting Services Clerk</t>
  </si>
  <si>
    <t>Accounting Technician</t>
  </si>
  <si>
    <t>Accounts Payable Clerk</t>
  </si>
  <si>
    <t>G</t>
  </si>
  <si>
    <t>Accounts Payable Specialist</t>
  </si>
  <si>
    <t>I</t>
  </si>
  <si>
    <t>Adaptive Technology Specialist</t>
  </si>
  <si>
    <t>Administrative Assistant I</t>
  </si>
  <si>
    <t>Administrative Assistant II</t>
  </si>
  <si>
    <t>Administrative Assistant III</t>
  </si>
  <si>
    <t>Administrative Assistant IV</t>
  </si>
  <si>
    <t>Admissions and Records Operations Assistant</t>
  </si>
  <si>
    <t>C</t>
  </si>
  <si>
    <t>Analyst/Programmer</t>
  </si>
  <si>
    <t>S (P)</t>
  </si>
  <si>
    <t>Applications Support Technician</t>
  </si>
  <si>
    <t>N (M)</t>
  </si>
  <si>
    <t>Art Gallery Coordinator/Curator</t>
  </si>
  <si>
    <t>Assessment Specialist</t>
  </si>
  <si>
    <t>Assessment Testing Coordinator</t>
  </si>
  <si>
    <t>Assistant Cashier/Clerk</t>
  </si>
  <si>
    <t>Assistant to Coordinator, Upward Bound</t>
  </si>
  <si>
    <t>Assistant to the Coordinator, International Education Program</t>
  </si>
  <si>
    <t>Athletic Equipment Manager</t>
  </si>
  <si>
    <t>Athletic Field Caretaker</t>
  </si>
  <si>
    <t>F</t>
  </si>
  <si>
    <t>Auditorium Specialist</t>
  </si>
  <si>
    <t>Auxiliary Business Services Bookkeeper</t>
  </si>
  <si>
    <t>Auxiliary Business Services Specialist</t>
  </si>
  <si>
    <t>H</t>
  </si>
  <si>
    <t>Background Investigator</t>
  </si>
  <si>
    <t>Benefits Clerk</t>
  </si>
  <si>
    <t>Budget Analyst</t>
  </si>
  <si>
    <t>Business Development Administrative Specialist</t>
  </si>
  <si>
    <t>Business Development Assistant</t>
  </si>
  <si>
    <t>Business Systems Analyst</t>
  </si>
  <si>
    <t>Cablecast/Satellite Specialist</t>
  </si>
  <si>
    <t>CalWorks Specialist</t>
  </si>
  <si>
    <t>Capital Asset Inventory Technician</t>
  </si>
  <si>
    <t>Career and Technical Education Laboratory Technician</t>
  </si>
  <si>
    <t>Career and Technical Education Projects Specialist</t>
  </si>
  <si>
    <t>Cashier/Clerk</t>
  </si>
  <si>
    <t>Casualty Claims Coordinator</t>
  </si>
  <si>
    <t>Cellular Account Clerk</t>
  </si>
  <si>
    <t>Certified Athletic Trainer</t>
  </si>
  <si>
    <t>Chemistry Laboratory Coordinator</t>
  </si>
  <si>
    <t>Chief Photographer</t>
  </si>
  <si>
    <t>J</t>
  </si>
  <si>
    <t>Clerk Typist</t>
  </si>
  <si>
    <t>Clinical Licensed Vocational Nurse</t>
  </si>
  <si>
    <t>College Health Registered Nurse</t>
  </si>
  <si>
    <t>College Receptionist</t>
  </si>
  <si>
    <t>College Safety &amp; Emergency Planning Coordinator</t>
  </si>
  <si>
    <t>College Safety &amp; Police Dispatch</t>
  </si>
  <si>
    <t>College Support Services Technician</t>
  </si>
  <si>
    <t>Community Education Clerk</t>
  </si>
  <si>
    <t>Community Relations Specialist</t>
  </si>
  <si>
    <t>Community Service Aide I</t>
  </si>
  <si>
    <t>Community Service Coordinator</t>
  </si>
  <si>
    <t>Computer Laboratory Assistant</t>
  </si>
  <si>
    <t>Computer Technician</t>
  </si>
  <si>
    <t>Coordinator, Professional Development</t>
  </si>
  <si>
    <t>Copy Center Operator</t>
  </si>
  <si>
    <t>Cosmetology Clerk</t>
  </si>
  <si>
    <t>Cosmetology Operations Assistant</t>
  </si>
  <si>
    <t>Cosmetology Receptionist/Cashier</t>
  </si>
  <si>
    <t>Counseling Clerk I</t>
  </si>
  <si>
    <t>Counseling Clerk II</t>
  </si>
  <si>
    <t>Counseling Clerk III</t>
  </si>
  <si>
    <t>Culinary Laboratory Assistant</t>
  </si>
  <si>
    <t>Culinary Program Specialist</t>
  </si>
  <si>
    <t>Custodian</t>
  </si>
  <si>
    <t>Customer Service Clerk</t>
  </si>
  <si>
    <t>Dance Accompanist</t>
  </si>
  <si>
    <t>Dental Education Center Administrative Assistant</t>
  </si>
  <si>
    <t>Dental Education Center Laboratory Assistant</t>
  </si>
  <si>
    <t>Designer Technical Director</t>
  </si>
  <si>
    <t>Disability Specialist</t>
  </si>
  <si>
    <t>Disability Technology Specialist</t>
  </si>
  <si>
    <t>Disability/Workability III Specialist</t>
  </si>
  <si>
    <t>Disabled Student Services Specialist</t>
  </si>
  <si>
    <t>Distance Education Support Specialist</t>
  </si>
  <si>
    <t>District Campaign Specialist</t>
  </si>
  <si>
    <t>Document Services Coordinator</t>
  </si>
  <si>
    <t>Document Services Coordinator (Evening)</t>
  </si>
  <si>
    <t>Document Services Technician</t>
  </si>
  <si>
    <t>Early Childhood Education Program Specialist</t>
  </si>
  <si>
    <t>Economic Development Assistant</t>
  </si>
  <si>
    <t>Educational Advisor</t>
  </si>
  <si>
    <t>Educational Services Reemployment Coordinator</t>
  </si>
  <si>
    <t>Educational Technologies Trainer</t>
  </si>
  <si>
    <t>Emancipation Coach</t>
  </si>
  <si>
    <t>Employment Placement Coordinator</t>
  </si>
  <si>
    <t>Enrollment Services Assistant</t>
  </si>
  <si>
    <t>EOPS Specialist</t>
  </si>
  <si>
    <t>EOPS/CARE Specialist</t>
  </si>
  <si>
    <t>Facilities Administrative and Utilization Specialist</t>
  </si>
  <si>
    <t>Facilities Planning Specialist/Accounting</t>
  </si>
  <si>
    <t>Facilities Planning Specialist/Support Services</t>
  </si>
  <si>
    <t>Facilities Utilization Specialist</t>
  </si>
  <si>
    <t>Facility Access and Utilization Coordinator</t>
  </si>
  <si>
    <t>Financial Aid Advisor</t>
  </si>
  <si>
    <t>Financial and Technical Analyst</t>
  </si>
  <si>
    <t>Fire Technology Program Assistant</t>
  </si>
  <si>
    <t>Floor Crew</t>
  </si>
  <si>
    <t>Food Service III</t>
  </si>
  <si>
    <t>Food Service IV</t>
  </si>
  <si>
    <t>Foster Youth Services Specialist</t>
  </si>
  <si>
    <t>Foundation Administrative Technician</t>
  </si>
  <si>
    <t>Foundation Specialist</t>
  </si>
  <si>
    <t>Grants Administrative Specialist</t>
  </si>
  <si>
    <t>Grants Specialist</t>
  </si>
  <si>
    <t>Grants Writer</t>
  </si>
  <si>
    <t>Grounds Equipment Repairperson/Operator</t>
  </si>
  <si>
    <t>Groundsperson</t>
  </si>
  <si>
    <t>Gymnasium Attendant</t>
  </si>
  <si>
    <t>Health Services Specialist</t>
  </si>
  <si>
    <t>Help Desk Support Technician</t>
  </si>
  <si>
    <t>Human Resources Generalist</t>
  </si>
  <si>
    <t>Human Resources Specialist I</t>
  </si>
  <si>
    <t>Information Support/Operator</t>
  </si>
  <si>
    <t>Information Technology Analyst</t>
  </si>
  <si>
    <t>Institutional Research Specialist</t>
  </si>
  <si>
    <t>Instructional Department Specialist</t>
  </si>
  <si>
    <t>Instructional Department Specialist/Senior Citizen Education Program Coordinator</t>
  </si>
  <si>
    <t>Instructional Media Aide</t>
  </si>
  <si>
    <t>D</t>
  </si>
  <si>
    <t>Instructional Media Assistant</t>
  </si>
  <si>
    <t>Instructional Media Support Coordinator</t>
  </si>
  <si>
    <t>Instructional Media Technician</t>
  </si>
  <si>
    <t>Instructional Media/Broadcast Coordinator</t>
  </si>
  <si>
    <t>Instructional Media/Broadcast Technician</t>
  </si>
  <si>
    <t>Instructional Production Specialist</t>
  </si>
  <si>
    <t>Instructional Program Support Coordinator</t>
  </si>
  <si>
    <t>Instructional Support Coordinator</t>
  </si>
  <si>
    <t>Instructional Support Specialist</t>
  </si>
  <si>
    <t>Instructional Technology Specialist</t>
  </si>
  <si>
    <t>International Students &amp; Program Specialist</t>
  </si>
  <si>
    <t>Internet Communications Specialist</t>
  </si>
  <si>
    <t>Interpreter Specialist</t>
  </si>
  <si>
    <t>Job Placement Technician</t>
  </si>
  <si>
    <t>Journalism Program Support Specialist</t>
  </si>
  <si>
    <t>Laboratory Technician I</t>
  </si>
  <si>
    <t>Laboratory Technician II</t>
  </si>
  <si>
    <t>Learning Center Assistant</t>
  </si>
  <si>
    <t>A</t>
  </si>
  <si>
    <t>Library Catalog Clerk</t>
  </si>
  <si>
    <t>Library Clerk I</t>
  </si>
  <si>
    <t>Library Clerk II</t>
  </si>
  <si>
    <t>Library Network/Web Development</t>
  </si>
  <si>
    <t>Library Operations Assistant</t>
  </si>
  <si>
    <t>Library Systems Coordinator</t>
  </si>
  <si>
    <t>Library Systems/Network Coordinator</t>
  </si>
  <si>
    <t>Library Technical Assistant I</t>
  </si>
  <si>
    <t>Library Technical Assistant II</t>
  </si>
  <si>
    <t>Library/IMC Operations Coordinator</t>
  </si>
  <si>
    <t>Mail Room Coordinator</t>
  </si>
  <si>
    <t>Maintenance Helper</t>
  </si>
  <si>
    <t>Maintenance Mechanic</t>
  </si>
  <si>
    <t>Maintenance Mechanic - Carpenter</t>
  </si>
  <si>
    <t>Maintenance Mechanic - Electrician</t>
  </si>
  <si>
    <t>Maintenance Mechanic - Equipment Repair</t>
  </si>
  <si>
    <t>Maintenance Mechanic - General</t>
  </si>
  <si>
    <t>Maintenance Mechanic - HVAC</t>
  </si>
  <si>
    <t>Maintenance Mechanic - Locksmith</t>
  </si>
  <si>
    <t>Maintenance Mechanic - Painter</t>
  </si>
  <si>
    <t>Maintenance Mechanic - Plumber/Boiler Repair</t>
  </si>
  <si>
    <t>Maintenance Mechanic - Specialty Electronics</t>
  </si>
  <si>
    <t>Marketing and Media Technician</t>
  </si>
  <si>
    <t>Matriculation Specialist</t>
  </si>
  <si>
    <t>Media Services Repair Technician</t>
  </si>
  <si>
    <t>Medical Administrative Assistant</t>
  </si>
  <si>
    <t>Medical Office Receptionist</t>
  </si>
  <si>
    <t>MESA Program Coordinator</t>
  </si>
  <si>
    <t>Microcomputer Support Specialist</t>
  </si>
  <si>
    <t>Microcomputer Support Technician</t>
  </si>
  <si>
    <t>N (K)</t>
  </si>
  <si>
    <t>Multi-Media Graphic Artist</t>
  </si>
  <si>
    <t>Multi-Media Graphic Artist/Web Technician</t>
  </si>
  <si>
    <t>Multi-Media Operations Specialist</t>
  </si>
  <si>
    <t>Music Accompanist/Assistant</t>
  </si>
  <si>
    <t>Music Specialist</t>
  </si>
  <si>
    <t>Network &amp; Communications Specialist</t>
  </si>
  <si>
    <t>Network Specialist</t>
  </si>
  <si>
    <t>Network Specialist - Data Systems Security</t>
  </si>
  <si>
    <t>Network Specialist - Infrastructure Management</t>
  </si>
  <si>
    <t>Network Specialist (Data)</t>
  </si>
  <si>
    <t>Network Specialist (Server Administrator)</t>
  </si>
  <si>
    <t>Network Specialist (Telecommunications)</t>
  </si>
  <si>
    <t>Network Specialist (Wireless LAN)</t>
  </si>
  <si>
    <t>Network Support Specialist</t>
  </si>
  <si>
    <t>Nursing Enrollment and Evaluations Specialist</t>
  </si>
  <si>
    <t>Nursing Enrollment Technician</t>
  </si>
  <si>
    <t>Nursing Simulation Laboratory Assistant</t>
  </si>
  <si>
    <t>Nursing Simulation Laboratory Specialist</t>
  </si>
  <si>
    <t>Nursing Skills Laboratory Technician</t>
  </si>
  <si>
    <t>Occupational Education Assistant</t>
  </si>
  <si>
    <t>Officer, Safety &amp; Police</t>
  </si>
  <si>
    <t>Outreach and Recruitment Services Specialist</t>
  </si>
  <si>
    <t>Outreach Specialist</t>
  </si>
  <si>
    <t>Outreach Specialist, Upward Bound</t>
  </si>
  <si>
    <t>Outreach Specialist, Upward Bound Math and Science</t>
  </si>
  <si>
    <t>Outreach/Middle College High School Coordinator</t>
  </si>
  <si>
    <t>Outreach/Passport to College Coordinator</t>
  </si>
  <si>
    <t>Parking Administrative Clerk</t>
  </si>
  <si>
    <t>Payroll Technician</t>
  </si>
  <si>
    <t>Photo Lab Assistant</t>
  </si>
  <si>
    <t>Piano Accompanist</t>
  </si>
  <si>
    <t>Piano Accompanist (Music)</t>
  </si>
  <si>
    <t>Piano Accompanist (Theater)</t>
  </si>
  <si>
    <t>Placement and Tutorial Services Coordinator</t>
  </si>
  <si>
    <t>Placement Coordinator</t>
  </si>
  <si>
    <t>Planner, Capital and Facilities</t>
  </si>
  <si>
    <t>Police Records Clerk</t>
  </si>
  <si>
    <t>Printing &amp; Graphics Center Coordinator</t>
  </si>
  <si>
    <t>Procurement Specialist</t>
  </si>
  <si>
    <t>Production Coordinator</t>
  </si>
  <si>
    <t>Production Graphic Designer</t>
  </si>
  <si>
    <t>Production Printer</t>
  </si>
  <si>
    <t>Production Printing Specialist</t>
  </si>
  <si>
    <t>Program Specialist, Fine &amp; Performing Arts</t>
  </si>
  <si>
    <t>Programmer Developer</t>
  </si>
  <si>
    <t>Project Manager</t>
  </si>
  <si>
    <t>Properties and Outreach Specialist</t>
  </si>
  <si>
    <t>Public Affairs and Marketing Specialist</t>
  </si>
  <si>
    <t>Public Affairs Officer</t>
  </si>
  <si>
    <t>Purchasing Clerk</t>
  </si>
  <si>
    <t>Purchasing Specialist</t>
  </si>
  <si>
    <t>Reading Paraprofessional</t>
  </si>
  <si>
    <t>Revenue/Accounts Receivable Clerk</t>
  </si>
  <si>
    <t>Revenue/Accounts Receivable Specialist</t>
  </si>
  <si>
    <t>Riverside Aquatics Complex Coordinator</t>
  </si>
  <si>
    <t>Safety &amp; Police Dispatch Coordinator</t>
  </si>
  <si>
    <t>Senior Academic Evaluations Specialist</t>
  </si>
  <si>
    <t>Senior Applied Technologist</t>
  </si>
  <si>
    <t>Senior Custodian</t>
  </si>
  <si>
    <t>Senior Financial Aid Advisor</t>
  </si>
  <si>
    <t>Senior Graphics Designer</t>
  </si>
  <si>
    <t>Senior Groundsperson</t>
  </si>
  <si>
    <t>Senior Interpreter</t>
  </si>
  <si>
    <t>Senior Officer, Safety &amp; Police</t>
  </si>
  <si>
    <t>Senior Public Affairs Officer</t>
  </si>
  <si>
    <t>Senior Tool Room Attendant</t>
  </si>
  <si>
    <t>SharePoint Solutions Architect</t>
  </si>
  <si>
    <t>Sprinkler Repair Person</t>
  </si>
  <si>
    <t>STEM Services Developer</t>
  </si>
  <si>
    <t>STEM Student Success Center Coordinator</t>
  </si>
  <si>
    <t>Student Account Specialist</t>
  </si>
  <si>
    <t>Student Activities Clerk</t>
  </si>
  <si>
    <t>Student Employment Personnel Specialist</t>
  </si>
  <si>
    <t>Student Financial Services Account Specialist</t>
  </si>
  <si>
    <t>Student Financial Services Analyst</t>
  </si>
  <si>
    <t>Student Financial Services Lead Analyst</t>
  </si>
  <si>
    <t>Student Financial Services Officer</t>
  </si>
  <si>
    <t>Student Financial Services Outreach Specialist</t>
  </si>
  <si>
    <t>Student Financial Services Support Specialist</t>
  </si>
  <si>
    <t>Student Financial Services Systems Analyst</t>
  </si>
  <si>
    <t>Student Resource Specialist</t>
  </si>
  <si>
    <t>Student Services Specialist</t>
  </si>
  <si>
    <t>Student Services Technician</t>
  </si>
  <si>
    <t>Student Success and Support Programs Assistant</t>
  </si>
  <si>
    <t>Student Success Coach</t>
  </si>
  <si>
    <t>Student Success Specialist</t>
  </si>
  <si>
    <t>Student Support Services Coordinator</t>
  </si>
  <si>
    <t>Supplemental Instructional Coordinator</t>
  </si>
  <si>
    <t>Support Center Technician</t>
  </si>
  <si>
    <t>Support Services Specialist</t>
  </si>
  <si>
    <t>Support Services Specialist Aide</t>
  </si>
  <si>
    <t>Swimming Pool Caretaker</t>
  </si>
  <si>
    <t>Systems Administrator</t>
  </si>
  <si>
    <t>Telephone Systems Account Clerk</t>
  </si>
  <si>
    <t>Telephone Systems Account Specialist</t>
  </si>
  <si>
    <t>Television Production Studio Specialist</t>
  </si>
  <si>
    <t>Television Studio Technician</t>
  </si>
  <si>
    <t>Theater Box Office Coordinator</t>
  </si>
  <si>
    <t>Theater Box Office Specialist</t>
  </si>
  <si>
    <t>Theater Scenic Specialist</t>
  </si>
  <si>
    <t>Theater Sound Specialist</t>
  </si>
  <si>
    <t>Tutorial Services Clerk</t>
  </si>
  <si>
    <t>Tutorial Services Specialist</t>
  </si>
  <si>
    <t>Tutorial Services Technician</t>
  </si>
  <si>
    <t>Upward Bound Coordinator</t>
  </si>
  <si>
    <t>Veterans Services Coordinator</t>
  </si>
  <si>
    <t>Veterans Services Specialist</t>
  </si>
  <si>
    <t>Veterans Services Technician</t>
  </si>
  <si>
    <t>Warehouse Assistant</t>
  </si>
  <si>
    <t>Web Applications Developer</t>
  </si>
  <si>
    <t>Web Applications Technician</t>
  </si>
  <si>
    <t>updated 9.30.21</t>
  </si>
  <si>
    <t>Academy Coordinator</t>
  </si>
  <si>
    <t>Academy Scenario Assistant</t>
  </si>
  <si>
    <t>Activities Assistant</t>
  </si>
  <si>
    <t>Assistant Pool Manager</t>
  </si>
  <si>
    <t>Assistant Project Coordinator (Dental Hygiene)</t>
  </si>
  <si>
    <t>Box Office Specialist</t>
  </si>
  <si>
    <t>Budget/Accounting Specialist</t>
  </si>
  <si>
    <t>Business Technical Assistant</t>
  </si>
  <si>
    <t>Classroom Assistant</t>
  </si>
  <si>
    <t>Clerk Trainee</t>
  </si>
  <si>
    <t>Coaches, Summer Activities</t>
  </si>
  <si>
    <t>Communication Assistant</t>
  </si>
  <si>
    <t>Community Liaison</t>
  </si>
  <si>
    <t>Conference Coordinator</t>
  </si>
  <si>
    <t>Copy Editor</t>
  </si>
  <si>
    <t>Custodial Assistant</t>
  </si>
  <si>
    <t>Dental Assistant</t>
  </si>
  <si>
    <t>Dental Health Educator</t>
  </si>
  <si>
    <t>Detective/Investigator</t>
  </si>
  <si>
    <t>Diversity, Equity and Compliance Intern</t>
  </si>
  <si>
    <t>Educational Assistant</t>
  </si>
  <si>
    <t>E-Text Transcriber</t>
  </si>
  <si>
    <t>Evaluator, Administration of Justice</t>
  </si>
  <si>
    <t>Executive Assistant</t>
  </si>
  <si>
    <t>Facilities ADA Accessibility Coordinator</t>
  </si>
  <si>
    <t>Facilities Assistant</t>
  </si>
  <si>
    <t>Facilities Planning and Development Assistant</t>
  </si>
  <si>
    <t>Finance Specialist</t>
  </si>
  <si>
    <t>Food Service Assistant</t>
  </si>
  <si>
    <t>Forensics Assistant</t>
  </si>
  <si>
    <t>Grant Analyst</t>
  </si>
  <si>
    <t>Grant Facilitator</t>
  </si>
  <si>
    <t>Grant Project Educational Aide II</t>
  </si>
  <si>
    <t>Grant Project Educational Trainer I</t>
  </si>
  <si>
    <t>Grant Project Educational Trainer II</t>
  </si>
  <si>
    <t>Grant Project Technician</t>
  </si>
  <si>
    <t>Grounds Assistant</t>
  </si>
  <si>
    <t>Health Services Facilitator</t>
  </si>
  <si>
    <t>High School Program Coordinator</t>
  </si>
  <si>
    <t>IMC Assistant I</t>
  </si>
  <si>
    <t>IMC Assistant II</t>
  </si>
  <si>
    <t>IMC Trainee</t>
  </si>
  <si>
    <t>Instructional Aide I</t>
  </si>
  <si>
    <t>Instructional Aide II</t>
  </si>
  <si>
    <t>Instructional Aide III</t>
  </si>
  <si>
    <t>International Trade Assistant</t>
  </si>
  <si>
    <t>Interpreter Apprentice</t>
  </si>
  <si>
    <t>Interpreter I</t>
  </si>
  <si>
    <t>Interpreter II</t>
  </si>
  <si>
    <t>Interpreter III</t>
  </si>
  <si>
    <t>Interpreter IV (Certified Interpreter)</t>
  </si>
  <si>
    <t>Laboratory Aide I</t>
  </si>
  <si>
    <t>Laboratory Aide II</t>
  </si>
  <si>
    <t>Lifeguard (Advanced)</t>
  </si>
  <si>
    <t>Lifeguard (Instructor)</t>
  </si>
  <si>
    <t>Lifeguard (Senior)</t>
  </si>
  <si>
    <t>Maintenance Assistant</t>
  </si>
  <si>
    <t>Marketing &amp; Media Coordinator</t>
  </si>
  <si>
    <t>Matriculation &amp; Educational Support Associate</t>
  </si>
  <si>
    <t>Matriculation Assistant I</t>
  </si>
  <si>
    <t>Matriculation Assistant II</t>
  </si>
  <si>
    <t>Matriculation Assistant III</t>
  </si>
  <si>
    <t>Nurse Practitioner</t>
  </si>
  <si>
    <t>Office Assistant I</t>
  </si>
  <si>
    <t>Office Assistant II</t>
  </si>
  <si>
    <t>Office Assistant III</t>
  </si>
  <si>
    <t>Office Assistant IV</t>
  </si>
  <si>
    <t>Photographer I (Intern)</t>
  </si>
  <si>
    <t>Photographer II</t>
  </si>
  <si>
    <t>Photographer III</t>
  </si>
  <si>
    <t>Production Printer II</t>
  </si>
  <si>
    <t>Production Technician Assistant I</t>
  </si>
  <si>
    <t>Proofreader</t>
  </si>
  <si>
    <t>Public Safety Coordinator (Title V)</t>
  </si>
  <si>
    <t>Publicist Trainee</t>
  </si>
  <si>
    <t>Puente Assistant</t>
  </si>
  <si>
    <t>Registered Nurse I</t>
  </si>
  <si>
    <t>Registered Nurse II</t>
  </si>
  <si>
    <t>Registered Nurse III</t>
  </si>
  <si>
    <t>Research Assistant</t>
  </si>
  <si>
    <t>Research Intern</t>
  </si>
  <si>
    <t>Reserve College Police Officer</t>
  </si>
  <si>
    <t>Role Player</t>
  </si>
  <si>
    <t>Scanner</t>
  </si>
  <si>
    <t>Soccer Certified Athletic Trainer</t>
  </si>
  <si>
    <t>Sports Publicist</t>
  </si>
  <si>
    <t>Stage Hand</t>
  </si>
  <si>
    <t>Stage Master Carpenter</t>
  </si>
  <si>
    <t>Stage Master Electrician</t>
  </si>
  <si>
    <t>Stage Technician I</t>
  </si>
  <si>
    <t>Stage Technician II</t>
  </si>
  <si>
    <t>Stage Technician III</t>
  </si>
  <si>
    <t>Stage Technician IV</t>
  </si>
  <si>
    <t>Stage Technician V</t>
  </si>
  <si>
    <t>Stage Technician VI</t>
  </si>
  <si>
    <t>STEM Activities Coordinator</t>
  </si>
  <si>
    <t>STEM Mentor</t>
  </si>
  <si>
    <t>Student Activities Advisor</t>
  </si>
  <si>
    <t>Student Activities Assistant</t>
  </si>
  <si>
    <t>Student Health Specialist</t>
  </si>
  <si>
    <t>Student Support Services University Mentor</t>
  </si>
  <si>
    <t>Study Group Leader</t>
  </si>
  <si>
    <t>Summer Bridge Coordinator</t>
  </si>
  <si>
    <t>Summer Youth Worker</t>
  </si>
  <si>
    <t>Supplemental Instructional Leader</t>
  </si>
  <si>
    <t>Survey Analyst</t>
  </si>
  <si>
    <t>Technical Business Advisor</t>
  </si>
  <si>
    <t>Theater Sound Technician</t>
  </si>
  <si>
    <t>Tri-Tech Business Associate</t>
  </si>
  <si>
    <t>Tutor I</t>
  </si>
  <si>
    <t>Tutor II</t>
  </si>
  <si>
    <t>Tutor III</t>
  </si>
  <si>
    <t>Tutor IV</t>
  </si>
  <si>
    <t>Upward Bound College Mentor</t>
  </si>
  <si>
    <t>Video Technician, Football Games</t>
  </si>
  <si>
    <t>Web Accessibility Technician</t>
  </si>
  <si>
    <t xml:space="preserve">*Minimum wage $14/hour </t>
  </si>
  <si>
    <t>Salary</t>
  </si>
  <si>
    <t>H-6</t>
  </si>
  <si>
    <t>Input current H-6 salary from FT faculty salary schedule</t>
  </si>
  <si>
    <t>STRS</t>
  </si>
  <si>
    <t>Medi</t>
  </si>
  <si>
    <t>SUI</t>
  </si>
  <si>
    <t>WC</t>
  </si>
  <si>
    <t>GL&amp;P</t>
  </si>
  <si>
    <t>OPEB</t>
  </si>
  <si>
    <t>H&amp;W*</t>
  </si>
  <si>
    <t>TCP</t>
  </si>
  <si>
    <t>*Standard H&amp;W with Jefferson Pilot Life, Delta Dental and RCCD</t>
  </si>
  <si>
    <t>The fixed charge rates will update when the Rate Sheet is updated.</t>
  </si>
  <si>
    <t>Group 3, Step 3 from the Faculty Hourly Salary Schedule</t>
  </si>
  <si>
    <t>Input current H-6 salary from Counselor, Librarian, Student Activities Coordinator salary schedule</t>
  </si>
  <si>
    <t>Hourly Rate @ 3/3</t>
  </si>
  <si>
    <t>Input current Group 3, Step 3 rate from faculty hourly salary schedule</t>
  </si>
  <si>
    <t>Hours for 3 Hour Class</t>
  </si>
  <si>
    <t>Hourly Rate @ 1/1 (Unit Pay)</t>
  </si>
  <si>
    <t>Input current Group 1, Step 1 rate from faculty hourly salary schedule</t>
  </si>
  <si>
    <t>Hour for SLO Assessment</t>
  </si>
  <si>
    <t>Salary Per 3 Unit Class (.2 FTE)</t>
  </si>
  <si>
    <t>Salary for 2.0 FTEs</t>
  </si>
  <si>
    <t>H&amp;W</t>
  </si>
  <si>
    <t>Salary for 1.0 FTE</t>
  </si>
  <si>
    <t>*Associate faculty costs are estimated based on a 3 unit class consisting of 54 hours of lecture.</t>
  </si>
  <si>
    <r>
      <t xml:space="preserve">RCCD STUDENT EMPLOYMENT POSITION TITLES  </t>
    </r>
    <r>
      <rPr>
        <b/>
        <sz val="14"/>
        <rFont val="Calibri"/>
        <family val="2"/>
      </rPr>
      <t>(Effective January 1, 2021 - December 30, 2021)</t>
    </r>
  </si>
  <si>
    <r>
      <rPr>
        <b/>
        <sz val="10"/>
        <rFont val="Calibri"/>
        <family val="2"/>
      </rPr>
      <t>LEVELS</t>
    </r>
  </si>
  <si>
    <r>
      <rPr>
        <b/>
        <sz val="10"/>
        <rFont val="Calibri"/>
        <family val="2"/>
      </rPr>
      <t>DESCRIPTION</t>
    </r>
  </si>
  <si>
    <r>
      <rPr>
        <b/>
        <sz val="10"/>
        <rFont val="Calibri"/>
        <family val="2"/>
      </rPr>
      <t>EXAMPLES OF ASSIGNMENTS</t>
    </r>
  </si>
  <si>
    <r>
      <rPr>
        <b/>
        <sz val="10"/>
        <rFont val="Calibri"/>
        <family val="2"/>
      </rPr>
      <t>RATES OF PAY</t>
    </r>
  </si>
  <si>
    <t>Rate for Costing Purposes</t>
  </si>
  <si>
    <r>
      <rPr>
        <sz val="10"/>
        <rFont val="Calibri"/>
        <family val="2"/>
      </rPr>
      <t>Student Aide I</t>
    </r>
  </si>
  <si>
    <t>Performs a variety of unskilled clerical &amp;/ or manual duties for a specific work area. Work is performed under close supervision. Work is assigned and student receives detailed instruction. No experience at all is required. Job details are learned from supervisor or classified staff members</t>
  </si>
  <si>
    <t>Food Services worker, area attendant, laborer, ticket taker, usher, locker room attendant, general clerk, Copy Room Attendant, mail distributor, Art gallery attendant, file clerk, Lab Aide, Instructional Aide, DSPS Aide, Student Clerk, IMC Aide, Journalism Aide, Circulation Aide, Library Aide, Student Ambassador, Health program Aide, Recital Assistant, Athletic Field Aide, Sports Program Aide, College Police Aides, Lifeguard</t>
  </si>
  <si>
    <t>$14.00 to $14.75
Per hour</t>
  </si>
  <si>
    <r>
      <rPr>
        <sz val="10"/>
        <rFont val="Calibri"/>
        <family val="2"/>
      </rPr>
      <t>Student Aide II</t>
    </r>
  </si>
  <si>
    <t>Performs a variety of clerical &amp;/or manual related duties that are usuallysemi-skilled in nature and may require only limited skill, training or experience. Learns role on the job. Requires basic knowledge of administrative activities and procedures within work area. Exchanges information with co-workers, staff within the District and the community. May require completion of certain courses to qualify.</t>
  </si>
  <si>
    <t>Classroom Aide, Public Safety Program Aide, Tutor, Museum Aide, Stage Hands, Middle School Liaisons, Outreach Aides, Student Role Players for special programs, Clerical Assistants, College Police Assistants, Lifeguard II</t>
  </si>
  <si>
    <t>$15.00 to $15.75
per hour</t>
  </si>
  <si>
    <r>
      <rPr>
        <sz val="10"/>
        <rFont val="Calibri"/>
        <family val="2"/>
      </rPr>
      <t>Student Aide III</t>
    </r>
  </si>
  <si>
    <t>Performs a variety of skilled duties in support of administrative and academic projects. Performs clerical and manual duties that require some specialized skill level. Typically requires some experience related to the assignment or special education in the area of assignment. Requires knowledge of the District/College programs and services</t>
  </si>
  <si>
    <t>Study Group Leader, Educational Assistant, Sports Program Coordinator, Specialized Tutors, group tutors, Computer Aides, light and sound technicians, Computer Network Assistants, Sports officials, Child program Aides, Automotive Assistants</t>
  </si>
  <si>
    <t>$16.00 to $16.75
per hour</t>
  </si>
  <si>
    <r>
      <rPr>
        <sz val="10"/>
        <rFont val="Calibri"/>
        <family val="2"/>
      </rPr>
      <t>Student Aide IV</t>
    </r>
  </si>
  <si>
    <t>Performs a variety of duties requiring advanced knowledge of subject in support of administrative or academic projects or functions. Requires knowledge of how program/work unit function and fit into the District or College programs. Gathers, integrates and interprets information.</t>
  </si>
  <si>
    <t>Media Center delivery assistants, Special Student Program Assistant (Puente, Ujima), Lab Specialist, Stem Mentors, advanced tutors</t>
  </si>
  <si>
    <t>$17.00 to $17.75
per hour</t>
  </si>
  <si>
    <t>Student Aide V</t>
  </si>
  <si>
    <t>Performs a variety of complex duties in support of administrative and academic projects/functions. Requires more extensive experience and subject matter expertise to be successful. May do advanced and complex research for department assigned to. Developing and working with contacts outside of the work unit is common</t>
  </si>
  <si>
    <t>Media Center Student Production Assistants, Media Center Student Technicians, Business Associates, Computer Specialist, Project Specialist</t>
  </si>
  <si>
    <t>$18.00 to $18.75
per hour</t>
  </si>
  <si>
    <t>**Minimum wage increase to $14.00 on 01/01/21</t>
  </si>
  <si>
    <t>Initial Cost</t>
  </si>
  <si>
    <t>Computer Type</t>
  </si>
  <si>
    <t># of Computers</t>
  </si>
  <si>
    <r>
      <t xml:space="preserve">Estimated Price, Computer &amp; Warranty </t>
    </r>
    <r>
      <rPr>
        <b/>
        <i/>
        <sz val="12"/>
        <color indexed="56"/>
        <rFont val="Calibri"/>
        <family val="2"/>
      </rPr>
      <t>(Choose from Dropdown)</t>
    </r>
    <r>
      <rPr>
        <sz val="12"/>
        <color indexed="56"/>
        <rFont val="Calibri"/>
        <family val="2"/>
      </rPr>
      <t>:</t>
    </r>
  </si>
  <si>
    <t>PC</t>
  </si>
  <si>
    <t>Estimated Price, All Other:</t>
  </si>
  <si>
    <t>Additional Component(s) cost:</t>
  </si>
  <si>
    <t>Maintenance Contract/Warranty/Software License cost:</t>
  </si>
  <si>
    <t>Software Training cost:</t>
  </si>
  <si>
    <t>Installation cost:</t>
  </si>
  <si>
    <t>Total Initial Cost:</t>
  </si>
  <si>
    <t>Operating Cost, Computer</t>
  </si>
  <si>
    <t>Expected Life-cycle (in years), Computer:</t>
  </si>
  <si>
    <t>Estimated Cost for Annual Maintenance Contract/Repairs (for Entire Life-Cycle):</t>
  </si>
  <si>
    <t>Estimated Cost for future Upgrade/Replacement (for Entire Life-Cycle, 10% Inflation):</t>
  </si>
  <si>
    <t>Operating Cost, All Other</t>
  </si>
  <si>
    <t>Expected Life-cycle (in years), All Other:</t>
  </si>
  <si>
    <t>Estimated Cost for future Upgrade/Replacement (for Entire Life-Cycle):</t>
  </si>
  <si>
    <t>Total Operating Cost:</t>
  </si>
  <si>
    <t>Total Cost of Ownership</t>
  </si>
  <si>
    <t>Initial Cost + Operating Cost = Total Cost of Ownership:</t>
  </si>
  <si>
    <t>Utilities Analysis</t>
  </si>
  <si>
    <t>* Due to Covid 19, the cost of utilities in fiscal year 20/21 is understated because of distance learning and personnel working from home. Therefore we are using  FY 18/19 cost</t>
  </si>
  <si>
    <t>FY 2018/19</t>
  </si>
  <si>
    <t>Entity</t>
  </si>
  <si>
    <t>OGSF*</t>
  </si>
  <si>
    <t>ASF*</t>
  </si>
  <si>
    <t>Gas</t>
  </si>
  <si>
    <t>Vendor</t>
  </si>
  <si>
    <t>Per OGSF</t>
  </si>
  <si>
    <t>Per ASF</t>
  </si>
  <si>
    <t>Electricity</t>
  </si>
  <si>
    <t>Water</t>
  </si>
  <si>
    <t>District</t>
  </si>
  <si>
    <t>Gas Company</t>
  </si>
  <si>
    <t>SCE, Magnon Prop Mgmt, City of Riverside,</t>
  </si>
  <si>
    <t xml:space="preserve">City of Corona, Magnon Prop Mgmt, </t>
  </si>
  <si>
    <t>RCC</t>
  </si>
  <si>
    <t>City of Riverside</t>
  </si>
  <si>
    <t>NC</t>
  </si>
  <si>
    <t>SCE</t>
  </si>
  <si>
    <t>City of Norco</t>
  </si>
  <si>
    <t>MVC</t>
  </si>
  <si>
    <t>EMWD</t>
  </si>
  <si>
    <t>Average</t>
  </si>
  <si>
    <t>*</t>
  </si>
  <si>
    <t>Per Space Inventory FY 2019/20</t>
  </si>
  <si>
    <t>Example</t>
  </si>
  <si>
    <t>OGSF=Gross Square Footage</t>
  </si>
  <si>
    <t>Building Name</t>
  </si>
  <si>
    <t>OSGF</t>
  </si>
  <si>
    <t>Total Annual Average Utilities</t>
  </si>
  <si>
    <t xml:space="preserve">   ASF=Assignable Square Footage</t>
  </si>
  <si>
    <t>VRC</t>
  </si>
  <si>
    <t>Table V</t>
  </si>
  <si>
    <t>Maintenance and Operations Task Force</t>
  </si>
  <si>
    <t>Staffing Standard Guidelines</t>
  </si>
  <si>
    <t>Updated 02-2020</t>
  </si>
  <si>
    <t>Updated 09-2021</t>
  </si>
  <si>
    <t>Riverside</t>
  </si>
  <si>
    <t>Moreno Valley</t>
  </si>
  <si>
    <t>Norco</t>
  </si>
  <si>
    <t>Position</t>
  </si>
  <si>
    <t>Current</t>
  </si>
  <si>
    <t>Standard</t>
  </si>
  <si>
    <t>Variance</t>
  </si>
  <si>
    <t>Classified Custodial Staff (Note A)</t>
  </si>
  <si>
    <t>1 FTE Per 16,700 GSF</t>
  </si>
  <si>
    <t>APPA standard for Level 2 cleaning</t>
  </si>
  <si>
    <t>Classified Grounds Staff (Note B)</t>
  </si>
  <si>
    <t>Grounds Person</t>
  </si>
  <si>
    <t>1 FTE Per 10 Developed Acres</t>
  </si>
  <si>
    <t>1 FTE Per 50 Undeveloped Acres</t>
  </si>
  <si>
    <t>1 FTE Per 10 Athletic Field Acres</t>
  </si>
  <si>
    <t>1 FTE Per Pool</t>
  </si>
  <si>
    <t>Parking Structure Caretaker (Grounds Person)</t>
  </si>
  <si>
    <t>1 FTE Per 450,000 GSF</t>
  </si>
  <si>
    <t>Classified Trades Staff</t>
  </si>
  <si>
    <t>1 FTE Per 67,456 GSF</t>
  </si>
  <si>
    <t>1 FTE Per Campus (+ one additional FTE after 175,000 GSF)</t>
  </si>
  <si>
    <t>Total Staff</t>
  </si>
  <si>
    <t>Notes:</t>
  </si>
  <si>
    <r>
      <t>Custodial staff includes Sr. Custodians; Custodians; Floor Care Personnel; Gym Attendants; Large Campus Factor</t>
    </r>
    <r>
      <rPr>
        <sz val="10"/>
        <color indexed="60"/>
        <rFont val="Times New Roman"/>
        <family val="1"/>
      </rPr>
      <t xml:space="preserve"> (500K GSF includes 3.0 Custodians for Day Time Services and Set-Ups)</t>
    </r>
  </si>
  <si>
    <t>Metrics</t>
  </si>
  <si>
    <t>ASF (per FUSION 1/2020)</t>
  </si>
  <si>
    <t>GSF (Note E)</t>
  </si>
  <si>
    <t>B</t>
  </si>
  <si>
    <t>Grounds staff includes Sr. Grounds Person; Irrigation Repair Person; Equipment Repair Persons</t>
  </si>
  <si>
    <t>Developed Acres</t>
  </si>
  <si>
    <t>Undeveloped Acres</t>
  </si>
  <si>
    <t>Athletic Field Acres</t>
  </si>
  <si>
    <t>This Position is to be a Working Manager</t>
  </si>
  <si>
    <t xml:space="preserve">Total Acres </t>
  </si>
  <si>
    <t>1 Acre = 43,560 square feet</t>
  </si>
  <si>
    <t>This Position is to be a Working Manager providing supervision to the night time staff</t>
  </si>
  <si>
    <t xml:space="preserve">This does not include 450,000 GSF in the Parking Structure Riverside.  </t>
  </si>
  <si>
    <t>* Due to VRC not being ready yet on September 2021, this report is prepared without the new square footage so that numbers are not skewed (using 20/21 Data)</t>
  </si>
  <si>
    <t>GSF per FUSION labled as Outside Square Feet (FY 20/21)</t>
  </si>
  <si>
    <t>OGSF</t>
  </si>
  <si>
    <t>CK</t>
  </si>
  <si>
    <t>961 - Riverside City College</t>
  </si>
  <si>
    <t>962 - Moreno Valley College</t>
  </si>
  <si>
    <t>963 - Norco College</t>
  </si>
  <si>
    <t>964 - Riverside District Administrative Office*</t>
  </si>
  <si>
    <t>#</t>
  </si>
  <si>
    <t>Bldg</t>
  </si>
  <si>
    <t>GSF</t>
  </si>
  <si>
    <r>
      <rPr>
        <sz val="8"/>
        <rFont val="Arial"/>
        <family val="2"/>
      </rPr>
      <t>QUADRANGLE (PAUL) - 3</t>
    </r>
  </si>
  <si>
    <t>LIBRARY</t>
  </si>
  <si>
    <t>STUDENT SERVICES - A</t>
  </si>
  <si>
    <t>SPRUCE DIST. OFFICE (INACTIVE)</t>
  </si>
  <si>
    <r>
      <rPr>
        <sz val="8"/>
        <rFont val="Arial"/>
        <family val="2"/>
      </rPr>
      <t>STADIUM (WHEELOCK FIELD) - 21</t>
    </r>
  </si>
  <si>
    <t>STUDENT SERVICES</t>
  </si>
  <si>
    <t>SCIENCE &amp; TECHNOLOGY - B</t>
  </si>
  <si>
    <t>DISPATCH</t>
  </si>
  <si>
    <r>
      <rPr>
        <sz val="8"/>
        <rFont val="Arial"/>
        <family val="2"/>
      </rPr>
      <t>GYMNASIUM (WHEELOCK) - 20</t>
    </r>
  </si>
  <si>
    <t>SCIENCE/TECHNOLOGY</t>
  </si>
  <si>
    <t>THEATER - C</t>
  </si>
  <si>
    <t>DATA PROCESSING</t>
  </si>
  <si>
    <r>
      <rPr>
        <sz val="8"/>
        <rFont val="Arial"/>
        <family val="2"/>
      </rPr>
      <t>FACILITIES MAINT. &amp; OPS - 33</t>
    </r>
  </si>
  <si>
    <t>LIONS DEN</t>
  </si>
  <si>
    <t>HUMANITIES - D</t>
  </si>
  <si>
    <t>WAREHOUSE ANN B</t>
  </si>
  <si>
    <r>
      <rPr>
        <sz val="8"/>
        <rFont val="Arial"/>
        <family val="2"/>
      </rPr>
      <t>MAINTENANCE PT SHOP</t>
    </r>
  </si>
  <si>
    <t>MECHANICAL</t>
  </si>
  <si>
    <t>COLLEGE RESOURCE CTR - E</t>
  </si>
  <si>
    <t>INFO SERVICES TELECOM</t>
  </si>
  <si>
    <r>
      <rPr>
        <sz val="8"/>
        <rFont val="Arial"/>
        <family val="2"/>
      </rPr>
      <t>TECHNOLOGY A - 27</t>
    </r>
  </si>
  <si>
    <t>HUMANITIES</t>
  </si>
  <si>
    <t>CENTRAL PLANT F1</t>
  </si>
  <si>
    <t>COLLEGE HOUSE (INACTIVE)</t>
  </si>
  <si>
    <r>
      <rPr>
        <sz val="8"/>
        <rFont val="Arial"/>
        <family val="2"/>
      </rPr>
      <t>TECHNOLOGY B - 26</t>
    </r>
  </si>
  <si>
    <t>MECHANICAL-2</t>
  </si>
  <si>
    <t>FACILITIES M1</t>
  </si>
  <si>
    <t>NORTH HALL (INACTIVE)</t>
  </si>
  <si>
    <r>
      <rPr>
        <sz val="8"/>
        <rFont val="Arial"/>
        <family val="2"/>
      </rPr>
      <t>CESAR CHAVEZ (INACTIVE) - 15</t>
    </r>
  </si>
  <si>
    <t>BOOKSTORE</t>
  </si>
  <si>
    <t>FACILITIES M2</t>
  </si>
  <si>
    <t>ALUNI HOUSE</t>
  </si>
  <si>
    <r>
      <rPr>
        <sz val="8"/>
        <rFont val="Arial"/>
        <family val="2"/>
      </rPr>
      <t>LANDIS PERFORMING ARTS CTR - 7</t>
    </r>
  </si>
  <si>
    <t>ADMINISTRATIVE ANNEX</t>
  </si>
  <si>
    <t>LIBRARY (AIREY) - G</t>
  </si>
  <si>
    <t>OFFICE ECON DEV</t>
  </si>
  <si>
    <r>
      <rPr>
        <sz val="8"/>
        <rFont val="Arial"/>
        <family val="2"/>
      </rPr>
      <t>MUSIC - 5</t>
    </r>
  </si>
  <si>
    <t>MULTI-PURPOSE</t>
  </si>
  <si>
    <t>APPLIED TECH - N</t>
  </si>
  <si>
    <t>CENT. PLAZA DISTRICT OFF</t>
  </si>
  <si>
    <r>
      <rPr>
        <sz val="8"/>
        <rFont val="Arial"/>
        <family val="2"/>
      </rPr>
      <t>ART - 19</t>
    </r>
  </si>
  <si>
    <t>STUDENT ACTIVITY CENTER</t>
  </si>
  <si>
    <t>CENTRAL PLANT F2</t>
  </si>
  <si>
    <t>CARRIAGE HOUSE</t>
  </si>
  <si>
    <r>
      <rPr>
        <sz val="8"/>
        <rFont val="Arial"/>
        <family val="2"/>
      </rPr>
      <t>GYMNASIUM (HUNTLEY) - 30</t>
    </r>
  </si>
  <si>
    <t>WAREHOUSE</t>
  </si>
  <si>
    <t>BOOKSTORE - I</t>
  </si>
  <si>
    <t>LOVEKIN COMPLEX #3</t>
  </si>
  <si>
    <r>
      <rPr>
        <sz val="8"/>
        <rFont val="Arial"/>
        <family val="2"/>
      </rPr>
      <t>WAREHOUSE - 32</t>
    </r>
  </si>
  <si>
    <t>E.C.E.</t>
  </si>
  <si>
    <t>CTR. APPLIED &amp; COMP TECH - K</t>
  </si>
  <si>
    <t>OFFICE OF ECONOMIC DEV.</t>
  </si>
  <si>
    <r>
      <rPr>
        <sz val="8"/>
        <rFont val="Arial"/>
        <family val="2"/>
      </rPr>
      <t>ADMINISTRATION (NOBLE) - 2B</t>
    </r>
  </si>
  <si>
    <t>PSC/PORTABLE-1</t>
  </si>
  <si>
    <t>MULTI-PURPOSE W1 &amp; W2 - L</t>
  </si>
  <si>
    <r>
      <rPr>
        <sz val="8"/>
        <rFont val="Arial"/>
        <family val="2"/>
      </rPr>
      <t>COSMETOLOGY - 34</t>
    </r>
  </si>
  <si>
    <t>PSC/PORTABLE-2</t>
  </si>
  <si>
    <t>STEM CENTER 100 - H</t>
  </si>
  <si>
    <r>
      <rPr>
        <sz val="8"/>
        <rFont val="Arial"/>
        <family val="2"/>
      </rPr>
      <t>CUTTER POOL (INACTIVE)</t>
    </r>
  </si>
  <si>
    <t>PSC/PORTABLE-3</t>
  </si>
  <si>
    <t>PORTABLE A - P</t>
  </si>
  <si>
    <t>Adjustments</t>
  </si>
  <si>
    <r>
      <rPr>
        <sz val="8"/>
        <rFont val="Arial"/>
        <family val="2"/>
      </rPr>
      <t>LIFE SCIENCE (INACTIVE)</t>
    </r>
  </si>
  <si>
    <t>PSC 4</t>
  </si>
  <si>
    <t>PORTABLE B - P</t>
  </si>
  <si>
    <r>
      <rPr>
        <sz val="8"/>
        <rFont val="Arial"/>
        <family val="2"/>
      </rPr>
      <t>MLK HIGH TECH CNTR - 8</t>
    </r>
  </si>
  <si>
    <t>PSC 6</t>
  </si>
  <si>
    <t>WEST END QUAD W9 - L</t>
  </si>
  <si>
    <r>
      <rPr>
        <sz val="8"/>
        <rFont val="Arial"/>
        <family val="2"/>
      </rPr>
      <t>PHYSICAL SCIENCE (INACTIVE)</t>
    </r>
  </si>
  <si>
    <t>PSC 7</t>
  </si>
  <si>
    <t>INDUSTRIAL TECH - Q</t>
  </si>
  <si>
    <t>Adjusted Total</t>
  </si>
  <si>
    <r>
      <rPr>
        <sz val="8"/>
        <rFont val="Arial"/>
        <family val="2"/>
      </rPr>
      <t>PLANETARIUM (DIXON) - 10</t>
    </r>
  </si>
  <si>
    <t>PSC 8</t>
  </si>
  <si>
    <t>SOCCER LKR RM WM 1 - R</t>
  </si>
  <si>
    <r>
      <rPr>
        <sz val="8"/>
        <rFont val="Arial"/>
        <family val="2"/>
      </rPr>
      <t>STUDENT CTR (BRADSHAW) - 13</t>
    </r>
  </si>
  <si>
    <t>PSC 9</t>
  </si>
  <si>
    <t>SOCCER LKR RM MN 2 - R</t>
  </si>
  <si>
    <r>
      <rPr>
        <sz val="8"/>
        <rFont val="Arial"/>
        <family val="2"/>
      </rPr>
      <t>CERAMICS - 18</t>
    </r>
  </si>
  <si>
    <t>PSC 10</t>
  </si>
  <si>
    <t>CTR FOR STU SUCCESS - S</t>
  </si>
  <si>
    <r>
      <rPr>
        <sz val="8"/>
        <rFont val="Arial"/>
        <family val="2"/>
      </rPr>
      <t>AUTOMOTIVE TECH - 28</t>
    </r>
  </si>
  <si>
    <t>PSC 11</t>
  </si>
  <si>
    <t>WEST END QUAD W8 - L</t>
  </si>
  <si>
    <t>EARLY CHILDHOOD ED - 17</t>
  </si>
  <si>
    <t>PSC 12</t>
  </si>
  <si>
    <t>OPERATIONS - T</t>
  </si>
  <si>
    <t>BUSINESS EDUCATION (PAUW) - 4</t>
  </si>
  <si>
    <t>PSC 13</t>
  </si>
  <si>
    <t>STEM CENTER 300 - J</t>
  </si>
  <si>
    <t>EQUIPMENT STORAGE (M&amp;O)</t>
  </si>
  <si>
    <t>PSC 14</t>
  </si>
  <si>
    <t>STEM CENTER 200 - J</t>
  </si>
  <si>
    <t>VIEWPOINTS - 9</t>
  </si>
  <si>
    <t>PSC 15</t>
  </si>
  <si>
    <t>WEST END QUAD W3 - L</t>
  </si>
  <si>
    <t>MUSIC HALL (STOVER) - 6</t>
  </si>
  <si>
    <t>PSC 16</t>
  </si>
  <si>
    <t>WEST END QUAD W4 - L</t>
  </si>
  <si>
    <t>PILATES STUDIO (CRABTREE) - 31</t>
  </si>
  <si>
    <t>PSC 17</t>
  </si>
  <si>
    <t>WEST END QUAD W5 - L</t>
  </si>
  <si>
    <t>DIGITAL LIBRARY - 1</t>
  </si>
  <si>
    <t>PSC 18</t>
  </si>
  <si>
    <t>WEST END QUAD W6 - L</t>
  </si>
  <si>
    <t>PORTABLE 5</t>
  </si>
  <si>
    <t>DENTAL ED CENTER A</t>
  </si>
  <si>
    <t>WEST END QUAD W7 - L</t>
  </si>
  <si>
    <t>LOVEKIN COMPLEX #01 - 29</t>
  </si>
  <si>
    <t>DENTAL ED CENTER B</t>
  </si>
  <si>
    <t>HAZMAT BUILDING @ M1</t>
  </si>
  <si>
    <t>STORAGE BLDG. BRADSHAW - 13A</t>
  </si>
  <si>
    <t>DENTAL ED CENTER C</t>
  </si>
  <si>
    <t>GROUNDS STORAGE SHED</t>
  </si>
  <si>
    <t>ASRCC STUDENT GOVT - 13A</t>
  </si>
  <si>
    <t>PSC 5 RR</t>
  </si>
  <si>
    <t>CACT STORAGE</t>
  </si>
  <si>
    <t>GROUNDS EQUIPMENT</t>
  </si>
  <si>
    <t>PSC 19 RR</t>
  </si>
  <si>
    <t>SOCCER STORAGE</t>
  </si>
  <si>
    <t>EVALUATIONS - 15A</t>
  </si>
  <si>
    <t>PSC 20</t>
  </si>
  <si>
    <t>WEST END QUAD STORAGE</t>
  </si>
  <si>
    <t>LANDIS ANNEX - 7A</t>
  </si>
  <si>
    <t>PSC 21</t>
  </si>
  <si>
    <t>WEST END QUAD RESTROOMS</t>
  </si>
  <si>
    <t>PARKING STRUCTURE - 36</t>
  </si>
  <si>
    <t>PSC 22</t>
  </si>
  <si>
    <t>NORCO COLL BUSINESS PARK</t>
  </si>
  <si>
    <t>CENTER SOCIAL JUSTICE</t>
  </si>
  <si>
    <t>PSC 23</t>
  </si>
  <si>
    <t>EVANS SPRTS CMPLX A BSBL</t>
  </si>
  <si>
    <t>SAS</t>
  </si>
  <si>
    <t>EVANS SPRTS CMPLX B SFBL</t>
  </si>
  <si>
    <t>Network Operation Ctr-21</t>
  </si>
  <si>
    <t>EVANS SPRTS CMPLX C LTLL</t>
  </si>
  <si>
    <t>Elevator Tower @ SCI</t>
  </si>
  <si>
    <t>EVANS SPRTS CMPLX D GRND</t>
  </si>
  <si>
    <t>Dental Ed Mechanical 1</t>
  </si>
  <si>
    <t>STOKOE ILC (INACTIVE)</t>
  </si>
  <si>
    <t>Dental Ed Mechanical 2</t>
  </si>
  <si>
    <t>AQUATICS COMPLEX - 25</t>
  </si>
  <si>
    <t>Hazmat Building</t>
  </si>
  <si>
    <t>MATH/SCIENCE MECH BLDG - 12</t>
  </si>
  <si>
    <t>BEN CLARK - ADMIN BLDG</t>
  </si>
  <si>
    <t>HAZMAT BUILDING</t>
  </si>
  <si>
    <t>BEN CLARK - MVC OFFICES</t>
  </si>
  <si>
    <t>ECD ANNEX (Portable H1) - 17</t>
  </si>
  <si>
    <t>BEN CLARK FIRE MODULAR D</t>
  </si>
  <si>
    <t>Mod @ 161 BB (EVANS)</t>
  </si>
  <si>
    <t>BEN CLARK FIRE MODULAR G</t>
  </si>
  <si>
    <t>Mod@ 162 SB (EVANS)</t>
  </si>
  <si>
    <t>BEN CLARK FIRE MODULAR H</t>
  </si>
  <si>
    <t>Dugout#1@161 BB</t>
  </si>
  <si>
    <t>BEN CLARK FIRE MODULAR L</t>
  </si>
  <si>
    <t>Dugout#2@161 BB</t>
  </si>
  <si>
    <t>BEN CLARK SHERIFF MOD #3</t>
  </si>
  <si>
    <t>Dugout#1@162 SB</t>
  </si>
  <si>
    <t>BEN CLARK SHERIFF MOD #4</t>
  </si>
  <si>
    <t>Dugout#2@162 SB</t>
  </si>
  <si>
    <t>BEN CLARK SHERIFF MOD #9</t>
  </si>
  <si>
    <t>Dugout#1@163 LL</t>
  </si>
  <si>
    <t>BEN CLARK SHERIFF MOD#10</t>
  </si>
  <si>
    <t>Dugout#2@163 LL</t>
  </si>
  <si>
    <t>BEN CLARK SHERIFF MOD#11</t>
  </si>
  <si>
    <t>MUSIC ANNEX - 5A</t>
  </si>
  <si>
    <t>BEN CLARK SHERIFF MOD#25</t>
  </si>
  <si>
    <t>MATH &amp; SCIENCE - 12</t>
  </si>
  <si>
    <t>BEN CLARK SHERIFF MOD#28</t>
  </si>
  <si>
    <t>CULINARY ARTS ACADEMY</t>
  </si>
  <si>
    <t>BEN CLARK SHOOTING BAY</t>
  </si>
  <si>
    <t>PARKING STRUCTURE - CSA</t>
  </si>
  <si>
    <t>BEN CLARK PLATFORM SCENARIO BLDG</t>
  </si>
  <si>
    <t>COIL SCHOOL OF ARTS</t>
  </si>
  <si>
    <t>STUDENT SRVS/ADMIN (KANE) - 2A</t>
  </si>
  <si>
    <t>ELEV. TOWER #1 ART</t>
  </si>
  <si>
    <t>ELEV. TOWER  #2 - WHEELOCK</t>
  </si>
  <si>
    <t>ELEV. TOWER #3 - TECH A / B</t>
  </si>
  <si>
    <t>CUTTER MECHANICAL</t>
  </si>
  <si>
    <t>AQUATICS COMPLEX MECH - 25</t>
  </si>
  <si>
    <t>AQUATICS COMPLEX STORAGE - 25</t>
  </si>
  <si>
    <t>STADIUM RESTROOM PORTABLE #1</t>
  </si>
  <si>
    <t>EARLY CHILDHOOD MECH - 17</t>
  </si>
  <si>
    <t>ELEV. TOWER #4-BRADSHAW</t>
  </si>
  <si>
    <t>SCHOOL OF NURSING - 11</t>
  </si>
  <si>
    <t>LOVEKIN COMPLEX #B1 - 29</t>
  </si>
  <si>
    <t>LOVEKIN COMPLEX #02 - 29</t>
  </si>
  <si>
    <t>LOVEKIN COMPLEX #10 - 29</t>
  </si>
  <si>
    <t>LOVEKIN COMPLEX #12 - 29</t>
  </si>
  <si>
    <t>LOVEKIN COMPLEX #13 - 29</t>
  </si>
  <si>
    <t>LOVEKIN COMPLEX #14 - 29</t>
  </si>
  <si>
    <t>STADIUM RESTROOM PORTABLE #2</t>
  </si>
  <si>
    <t>LOVEKIN COMPLEX #11 - 29</t>
  </si>
  <si>
    <t>AUTOTECH STORAGE</t>
  </si>
  <si>
    <t>EQUIPMENT STORAGE(M&amp;O)2</t>
  </si>
  <si>
    <t>EQUIPMENT STORAGE(M&amp;O)3</t>
  </si>
  <si>
    <t>STORAGE(LIFE SCIENCE)</t>
  </si>
  <si>
    <t>MLK DATA BUILDING</t>
  </si>
  <si>
    <t>GREENHOUSE</t>
  </si>
  <si>
    <t>Remove Parking Structure</t>
  </si>
  <si>
    <t>Add District Offices (Riverside provides maintenance/operations) ***</t>
  </si>
  <si>
    <t>Building Summary Report (2020 - 2021)</t>
  </si>
  <si>
    <t>960 - Riverside Community College District</t>
  </si>
  <si>
    <t>Campus</t>
  </si>
  <si>
    <t>Bldg #</t>
  </si>
  <si>
    <t>Year Built</t>
  </si>
  <si>
    <t>Rooms</t>
  </si>
  <si>
    <t>Stations</t>
  </si>
  <si>
    <t>ASF</t>
  </si>
  <si>
    <t>Efficiency</t>
  </si>
  <si>
    <t>Ownership</t>
  </si>
  <si>
    <t>Constuction</t>
  </si>
  <si>
    <t>Plan</t>
  </si>
  <si>
    <t>QUADRANGLE (PAUL) - 3</t>
  </si>
  <si>
    <t>1923</t>
  </si>
  <si>
    <t>Owned in fee simple</t>
  </si>
  <si>
    <t>Ordinary Masonry</t>
  </si>
  <si>
    <t>STADIUM (WHEELOCK FIELD) - 21</t>
  </si>
  <si>
    <t>1928</t>
  </si>
  <si>
    <t>Fire resistive - Concrete</t>
  </si>
  <si>
    <t>GYMNASIUM (WHEELOCK) - 20</t>
  </si>
  <si>
    <t>Wood Frame</t>
  </si>
  <si>
    <t>FACILITIES MAINT. &amp; OPS - 33</t>
  </si>
  <si>
    <t>1932</t>
  </si>
  <si>
    <t>MAINTENANCE PT SHOP</t>
  </si>
  <si>
    <t>TECHNOLOGY A - 27</t>
  </si>
  <si>
    <t>1933</t>
  </si>
  <si>
    <t>TECHNOLOGY B - 26</t>
  </si>
  <si>
    <t>1938</t>
  </si>
  <si>
    <t>CESAR CHAVEZ (INACTIVE) - 15</t>
  </si>
  <si>
    <t>1949</t>
  </si>
  <si>
    <t>LANDIS PERFORMING ARTS CTR - 7</t>
  </si>
  <si>
    <t>1952</t>
  </si>
  <si>
    <t>MUSIC - 5</t>
  </si>
  <si>
    <t>ART - 19</t>
  </si>
  <si>
    <t>1953</t>
  </si>
  <si>
    <t>GYMNASIUM (HUNTLEY) - 30</t>
  </si>
  <si>
    <t>WAREHOUSE - 32</t>
  </si>
  <si>
    <t>Light Incombustible Frame</t>
  </si>
  <si>
    <t>COSMETOLOGY - 34</t>
  </si>
  <si>
    <t>1958</t>
  </si>
  <si>
    <t>CUTTER POOL (INACTIVE)</t>
  </si>
  <si>
    <t>LIFE SCIENCE (INACTIVE)</t>
  </si>
  <si>
    <t>1967</t>
  </si>
  <si>
    <t>MLK HIGH TECH CNTR - 8</t>
  </si>
  <si>
    <t>1968</t>
  </si>
  <si>
    <t>PHYSICAL SCIENCE (INACTIVE)</t>
  </si>
  <si>
    <t>PLANETARIUM (DIXON) - 10</t>
  </si>
  <si>
    <t>STUDENT CTR (BRADSHAW) - 13</t>
  </si>
  <si>
    <t>CERAMICS - 18</t>
  </si>
  <si>
    <t>1973</t>
  </si>
  <si>
    <t>AUTOMOTIVE TECH - 28</t>
  </si>
  <si>
    <t>1976</t>
  </si>
  <si>
    <t>1977</t>
  </si>
  <si>
    <t>1980</t>
  </si>
  <si>
    <t>2002</t>
  </si>
  <si>
    <t>2003</t>
  </si>
  <si>
    <t>2000</t>
  </si>
  <si>
    <t>2004</t>
  </si>
  <si>
    <t>1988</t>
  </si>
  <si>
    <t>2006</t>
  </si>
  <si>
    <t>1926</t>
  </si>
  <si>
    <t>1989</t>
  </si>
  <si>
    <t>2011</t>
  </si>
  <si>
    <t>2005</t>
  </si>
  <si>
    <t>2012</t>
  </si>
  <si>
    <t>2015</t>
  </si>
  <si>
    <t>2016</t>
  </si>
  <si>
    <t>1978</t>
  </si>
  <si>
    <t>2007</t>
  </si>
  <si>
    <t>2009</t>
  </si>
  <si>
    <t>2020</t>
  </si>
  <si>
    <t>LIBRARY - 1</t>
  </si>
  <si>
    <t>1991</t>
  </si>
  <si>
    <t>STUDENT SERVICES - 2</t>
  </si>
  <si>
    <t>SCIENCE &amp; TECHNOLOGY - 3</t>
  </si>
  <si>
    <t>LIONS DEN CAFE - 4</t>
  </si>
  <si>
    <t>PH 1 MECHANICAL - 9</t>
  </si>
  <si>
    <t>HUMANITIES - 8</t>
  </si>
  <si>
    <t>1995</t>
  </si>
  <si>
    <t>PH 2 MECHANICAL - 10</t>
  </si>
  <si>
    <t>1994</t>
  </si>
  <si>
    <t>BOOKSTORE - 6</t>
  </si>
  <si>
    <t>1999</t>
  </si>
  <si>
    <t>ADMIN ANNEX - 16</t>
  </si>
  <si>
    <t>PSC MULTIPURPOSE - 13B</t>
  </si>
  <si>
    <t>STUDENT ACTIVITIES CENTER - 5</t>
  </si>
  <si>
    <t>PSC WAREHOUSE - 13A - 13</t>
  </si>
  <si>
    <t>EARLY CHILDHOOD ED CTR - 18</t>
  </si>
  <si>
    <t>PARKSIDE COMPLEX #01 - 13</t>
  </si>
  <si>
    <t>PARKSIDE COMPLEX #02 - 13</t>
  </si>
  <si>
    <t>PARKSIDE COMPLEX #03 - 13</t>
  </si>
  <si>
    <t>PARKSIDE COMPLEX #04 - 13</t>
  </si>
  <si>
    <t>PARKSIDE COMPLEX #06 - 13</t>
  </si>
  <si>
    <t>PARKSIDE COMPLEX #07 - 13</t>
  </si>
  <si>
    <t>PARKSIDE COMPLEX #08 - 13</t>
  </si>
  <si>
    <t>PARKSIDE COMPLEX #09 - 13</t>
  </si>
  <si>
    <t>PARKSIDE COMPLEX #10 - 13</t>
  </si>
  <si>
    <t>PARKSIDE COMPLEX #11 - 13</t>
  </si>
  <si>
    <t>PARKSIDE COMPLEX #12 - 13</t>
  </si>
  <si>
    <t>PARKSIDE COMPLEX #13 - 13</t>
  </si>
  <si>
    <t>PARKSIDE COMPLEX #14 - 13</t>
  </si>
  <si>
    <t>PARKSIDE COMPLEX #15 - 13</t>
  </si>
  <si>
    <t>PARKSIDE COMPLEX #16 - 13</t>
  </si>
  <si>
    <t>PARKSIDE COMPLEX #17 - 13</t>
  </si>
  <si>
    <t>PARKSIDE COMPLEX #18 - 13</t>
  </si>
  <si>
    <t>PARKSIDE COMPLEX #05 RR - 13</t>
  </si>
  <si>
    <t>PARKSIDE COMPLEX #19 RR - 13</t>
  </si>
  <si>
    <t>DENTAL ED CENTER A - 19</t>
  </si>
  <si>
    <t>DENTAL ED CENTER B - 19</t>
  </si>
  <si>
    <t>DENTAL ED CENTER C - 19</t>
  </si>
  <si>
    <t>PARKSIDE COMPLEX #20 - 13</t>
  </si>
  <si>
    <t>PARKSIDE COMPLEX #21 - 13</t>
  </si>
  <si>
    <t>PARKSIDE COMPLEX #22 - 13</t>
  </si>
  <si>
    <t>PARKSIDE COMPLEX #23 - 13</t>
  </si>
  <si>
    <t>STUDENT ACADEMIC SRVS. - 20</t>
  </si>
  <si>
    <t>2013</t>
  </si>
  <si>
    <t>NETWORK OPERATIONS CTR - 21</t>
  </si>
  <si>
    <t>ELEVATOR TOWER  @ SCI</t>
  </si>
  <si>
    <t>DENTAL ED MECHANICAL 1</t>
  </si>
  <si>
    <t>DENTAL ED MECHANICAL 2</t>
  </si>
  <si>
    <t>1948</t>
  </si>
  <si>
    <t>Not owned by the district but leased or rented to the district</t>
  </si>
  <si>
    <t>1954</t>
  </si>
  <si>
    <t>2008</t>
  </si>
  <si>
    <t>District-owned facilites or rented to other parties</t>
  </si>
  <si>
    <t>2010</t>
  </si>
  <si>
    <t>2001</t>
  </si>
  <si>
    <t>963 - Norco College Total</t>
  </si>
  <si>
    <t>DISPATCHSAFETY/SECURITY</t>
  </si>
  <si>
    <t>WAREHOUSE ANNEX B</t>
  </si>
  <si>
    <t>1970</t>
  </si>
  <si>
    <t>1929</t>
  </si>
  <si>
    <t>ALUMNI HOUSE</t>
  </si>
  <si>
    <t>1917</t>
  </si>
  <si>
    <t>DISTRICT OFFICE DOWNTOWN RIVERSIDE</t>
  </si>
  <si>
    <t>LOVEKIN COMPLEX #3 - 29</t>
  </si>
  <si>
    <t>964 - Riverside District Administrative Office* Total</t>
  </si>
  <si>
    <t>Grand Total</t>
  </si>
  <si>
    <t>updated</t>
  </si>
  <si>
    <t>MRT</t>
  </si>
  <si>
    <t>Need to unprotect this sheet before updating the rates</t>
  </si>
  <si>
    <t>FY 21/22 Rates</t>
  </si>
  <si>
    <t>Assume all are on GL&amp;P</t>
  </si>
  <si>
    <t>on PERS</t>
  </si>
  <si>
    <t>PERS</t>
  </si>
  <si>
    <t>on STRS</t>
  </si>
  <si>
    <t>FICA</t>
  </si>
  <si>
    <t>on PARS</t>
  </si>
  <si>
    <t>MEDI</t>
  </si>
  <si>
    <t>Student Employee</t>
  </si>
  <si>
    <t>W/C</t>
  </si>
  <si>
    <t>H&amp;W Standard</t>
  </si>
  <si>
    <t>Delta Dental</t>
  </si>
  <si>
    <t>Jefferson</t>
  </si>
  <si>
    <t>RCCD</t>
  </si>
  <si>
    <t>New Faculty/Counselor Allocation - assuming they want a MAC</t>
  </si>
  <si>
    <t>Standards - update here</t>
  </si>
  <si>
    <t>Faculty Chair</t>
  </si>
  <si>
    <t>Student Chair</t>
  </si>
  <si>
    <t>File Cabinet</t>
  </si>
  <si>
    <t>Vertical File Cabinet</t>
  </si>
  <si>
    <t>Bookcase</t>
  </si>
  <si>
    <t>Desk</t>
  </si>
  <si>
    <t>tax rate</t>
  </si>
  <si>
    <t>installation</t>
  </si>
  <si>
    <t>Phone</t>
  </si>
  <si>
    <t>Computer - assuming they are purchasing a PC computer - from Technology tab</t>
  </si>
  <si>
    <t>TAB</t>
  </si>
  <si>
    <t>ACTION</t>
  </si>
  <si>
    <t>Unhide all hidden data tabs</t>
  </si>
  <si>
    <t>These are hidden so they don't clutter up the spreadsheet but will have to unhidden in order to update them.</t>
  </si>
  <si>
    <t>Rate Sheet</t>
  </si>
  <si>
    <t>Update the highlighted cells with the current fiscal year's finalized rates</t>
  </si>
  <si>
    <t>NOT DONE YET</t>
  </si>
  <si>
    <t>Summary</t>
  </si>
  <si>
    <t>Update the "Planning Year"</t>
  </si>
  <si>
    <t>Administrator Job Titles</t>
  </si>
  <si>
    <t>Upload the current Management and Supervisory Position by Position Title salary schedule</t>
  </si>
  <si>
    <t>Check the link to this data</t>
  </si>
  <si>
    <t>Classified Job Title</t>
  </si>
  <si>
    <t>Upload the current Classified Salary Schedule by Position Title</t>
  </si>
  <si>
    <t>Short Term NonClassified Titles</t>
  </si>
  <si>
    <t>Update this list by briging all the hourly wages below minimum up to the published minimum wage</t>
  </si>
  <si>
    <t>TCP Full Time Fac</t>
  </si>
  <si>
    <t xml:space="preserve">Update highlighted cell C1 with the current H-6 rate from the FT Faculty Salary Schedule </t>
  </si>
  <si>
    <t>Update highlighted cell C15 with the Group 3, Step 3 hourly rate from the Faculty Hourly Salary Schedule</t>
  </si>
  <si>
    <t>TCP Full Time CounsLib</t>
  </si>
  <si>
    <t>Update highlight cell C1 with the current H-6 rate from the Counselor, Librarian, Student Activities Coordinator Salary Schedule</t>
  </si>
  <si>
    <t>TCP Assoc Fac</t>
  </si>
  <si>
    <t>Update the following highlight cells with the rates from the Faculty Hourly Salary Schedule</t>
  </si>
  <si>
    <t>C1 - Group 3, Step 3</t>
  </si>
  <si>
    <t>C3 - Group 1, Step 1</t>
  </si>
  <si>
    <t>Update the data in the highlighted cells:  fiscal years and utility spend data.</t>
  </si>
  <si>
    <t xml:space="preserve">The OGSF and ASF columns are linked to the Fusion GSF by Location and bldg_summary All tabs, respectively.  Make sure they </t>
  </si>
  <si>
    <t>are appropriately linked after you upload the current data.</t>
  </si>
  <si>
    <t>The Gas (5510), Electricity (5520) &amp; Water (5530) data is pulled from the View Financial Summary download hidden in the spreadsheet.</t>
  </si>
  <si>
    <t>Make sure that the formulas and links are still intact after you have updated the data.</t>
  </si>
  <si>
    <t>Cost Per Section</t>
  </si>
  <si>
    <t>Add in the previous fiscal year EMD data to each discipline line and point G30 &amp; G31 on the Expenses tab to updated data</t>
  </si>
  <si>
    <t>The number of sections comes from the EMD.  You can see previous year's data in the back up folder.  I've updated all date from FY 12/13</t>
  </si>
  <si>
    <t>The cost data is from object codes 4XXX - 6XXX all funding sources from View Financial Summary in Galaxy.  You will have to adjust</t>
  </si>
  <si>
    <t>the goals that lead with a zero by putting a '0 in front of it so you can filter by the first three digits in the Tops Code, if you want to do it that way</t>
  </si>
  <si>
    <t>Goal 08090 is not to be included in this calculation since it is not a discipline but a departmental service</t>
  </si>
  <si>
    <t>This data does not include object code 5421 - GL&amp;P</t>
  </si>
  <si>
    <t>Make sure the index number is correct cell in cells G30, G31 on the "Expenses" tab when referencing the Cost per Section data.</t>
  </si>
  <si>
    <t>The Dicipline Description column must be in alphabetical order.</t>
  </si>
  <si>
    <t>M &amp; O Standards</t>
  </si>
  <si>
    <t>Not sure how this tab works into the entire workbook so we have altered it to meet our needs.  The original tab is hidden in the workbook for future use.</t>
  </si>
  <si>
    <t>Find the APPA Staffing Standards to check the Custodial, Maintenance and Grounds standards.  Update the tab after confirming with VP, BS</t>
  </si>
  <si>
    <t>ASF &amp; GSF numbers are linked to the bldg summary tab and Fusion GSF by Location tabs, respectively.  Make sure the links are still aligned</t>
  </si>
  <si>
    <t>1 acre = 43,560 Square Feet</t>
  </si>
  <si>
    <t>2/7/20 - kept Athletic Field Acres the same when making the calculations on the bottom of this tab.</t>
  </si>
  <si>
    <t>Fusion GSF By Location</t>
  </si>
  <si>
    <t>Download the building summary from Fusion for the CFY.  Import the data into the spreadsheet as its own tab.</t>
  </si>
  <si>
    <t>Point the appropriate fields in the Fusion GSF by Location tab to the data in the bldg summary tab that you just pulled from Fusion.</t>
  </si>
  <si>
    <t>When finished, the total should balance back to the Fusion data</t>
  </si>
  <si>
    <t>Password</t>
  </si>
  <si>
    <t>TCO</t>
  </si>
  <si>
    <t>View Financial Summary</t>
  </si>
  <si>
    <t>Generated By 109345 on 1/30/2020, 1:57:44 PM</t>
  </si>
  <si>
    <t xml:space="preserve">County </t>
  </si>
  <si>
    <t>33 - RIVERSIDE COUNTY</t>
  </si>
  <si>
    <t xml:space="preserve">District </t>
  </si>
  <si>
    <t>07 - RIVERSIDE COMMUNITY COLLEGE DISTRICT</t>
  </si>
  <si>
    <t>Begin Date</t>
  </si>
  <si>
    <t>07/01/2018</t>
  </si>
  <si>
    <t>End Date</t>
  </si>
  <si>
    <t>06/30/2019</t>
  </si>
  <si>
    <t>ST</t>
  </si>
  <si>
    <t>FD</t>
  </si>
  <si>
    <t>Sch</t>
  </si>
  <si>
    <t>Resc</t>
  </si>
  <si>
    <t>PY</t>
  </si>
  <si>
    <t>Goal</t>
  </si>
  <si>
    <t>Func</t>
  </si>
  <si>
    <t>OBJ</t>
  </si>
  <si>
    <t>Object Code Description</t>
  </si>
  <si>
    <t>Adopted Budget</t>
  </si>
  <si>
    <t>Revised Budget</t>
  </si>
  <si>
    <t>Rev/ Exp Net of Abatements</t>
  </si>
  <si>
    <t>Encumbrances</t>
  </si>
  <si>
    <t>Uncommitted/ Unrealized</t>
  </si>
  <si>
    <t>ABJ</t>
  </si>
  <si>
    <t xml:space="preserve">NATURAL GAS                                                                                                                                                                                                                                                    </t>
  </si>
  <si>
    <t>ADB</t>
  </si>
  <si>
    <t xml:space="preserve">ELECTRICITY                                                                                                                                                                                                                                                    </t>
  </si>
  <si>
    <t>ADD</t>
  </si>
  <si>
    <t xml:space="preserve">WATER                                                                                                                                                                                                                                                          </t>
  </si>
  <si>
    <t>AXD</t>
  </si>
  <si>
    <t>DDD</t>
  </si>
  <si>
    <t>DZJ</t>
  </si>
  <si>
    <t>ECH</t>
  </si>
  <si>
    <t>EDD</t>
  </si>
  <si>
    <t>FDD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</si>
</sst>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5" formatCode="&quot;$&quot;#,##0_);\(&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00"/>
    <numFmt numFmtId="165" formatCode="#,##0;#,##0"/>
    <numFmt numFmtId="166" formatCode="_(* #,##0_);_(* \(#,##0\);_(* &quot;-&quot;??_);_(@_)"/>
    <numFmt numFmtId="167" formatCode="0.0"/>
    <numFmt numFmtId="168" formatCode="0.0_);[Red]\(0.0\)"/>
    <numFmt numFmtId="169" formatCode="0.0%"/>
    <numFmt numFmtId="170" formatCode="mm/dd/yy;@"/>
    <numFmt numFmtId="171" formatCode="_(&quot;$&quot;* #,##0_);_(&quot;$&quot;* \(#,##0\);_(&quot;$&quot;* &quot;-&quot;??_);_(@_)"/>
    <numFmt numFmtId="172" formatCode="_(&quot;Cr$&quot;* #,##0_);_(&quot;Cr$&quot;* \(#,##0\);_(&quot;Cr$&quot;* &quot;-&quot;_);_(@_)"/>
    <numFmt numFmtId="173" formatCode="_(&quot;Cr$&quot;* #,##0.00_);_(&quot;Cr$&quot;* \(#,##0.00\);_(&quot;Cr$&quot;* &quot;-&quot;??_);_(@_)"/>
    <numFmt numFmtId="174" formatCode="#"/>
    <numFmt numFmtId="175" formatCode="0.0%;\(0.0%\)"/>
    <numFmt numFmtId="176" formatCode="#0000"/>
    <numFmt numFmtId="177" formatCode="#0"/>
    <numFmt numFmtId="178" formatCode="#00"/>
    <numFmt numFmtId="179" formatCode="_(* #,##0.0000_);_(* \(#,##0.0000\);_(* &quot;-&quot;??_);_(@_)"/>
  </numFmts>
  <fonts count="120">
    <font>
      <sz val="10"/>
      <name val="Arial"/>
    </font>
    <font>
      <sz val="10"/>
      <name val="Arial"/>
      <family val="2"/>
    </font>
    <font>
      <sz val="8"/>
      <name val="Arial"/>
      <family val="2"/>
    </font>
    <font>
      <b/>
      <sz val="18"/>
      <name val="Arial"/>
      <family val="2"/>
    </font>
    <font>
      <b/>
      <sz val="12"/>
      <name val="Arial"/>
      <family val="2"/>
    </font>
    <font>
      <b/>
      <sz val="10"/>
      <name val="Arial"/>
      <family val="2"/>
    </font>
    <font>
      <sz val="10"/>
      <name val="Arial"/>
      <family val="2"/>
    </font>
    <font>
      <sz val="11"/>
      <color indexed="8"/>
      <name val="Calibri"/>
      <family val="2"/>
    </font>
    <font>
      <b/>
      <sz val="11"/>
      <name val="Times New Roman"/>
      <family val="1"/>
    </font>
    <font>
      <sz val="10"/>
      <name val="Times New Roman"/>
      <family val="1"/>
    </font>
    <font>
      <b/>
      <sz val="10"/>
      <color indexed="12"/>
      <name val="Times New Roman"/>
      <family val="1"/>
    </font>
    <font>
      <b/>
      <sz val="10"/>
      <name val="Times New Roman"/>
      <family val="1"/>
    </font>
    <font>
      <b/>
      <u/>
      <sz val="10"/>
      <name val="Times New Roman"/>
      <family val="1"/>
    </font>
    <font>
      <sz val="10"/>
      <color indexed="60"/>
      <name val="Times New Roman"/>
      <family val="1"/>
    </font>
    <font>
      <b/>
      <sz val="9"/>
      <color indexed="81"/>
      <name val="Tahoma"/>
      <family val="2"/>
    </font>
    <font>
      <sz val="9"/>
      <color indexed="81"/>
      <name val="Tahoma"/>
      <family val="2"/>
    </font>
    <font>
      <b/>
      <sz val="8"/>
      <color indexed="81"/>
      <name val="Tahoma"/>
      <family val="2"/>
    </font>
    <font>
      <b/>
      <u/>
      <sz val="10"/>
      <color indexed="10"/>
      <name val="Arial"/>
      <family val="2"/>
    </font>
    <font>
      <sz val="8"/>
      <color indexed="8"/>
      <name val="Arial"/>
      <family val="2"/>
    </font>
    <font>
      <b/>
      <sz val="8"/>
      <color indexed="8"/>
      <name val="Arial"/>
      <family val="2"/>
    </font>
    <font>
      <sz val="12"/>
      <name val="Times New Roman"/>
      <family val="1"/>
    </font>
    <font>
      <u val="singleAccounting"/>
      <sz val="12"/>
      <name val="Times New Roman"/>
      <family val="1"/>
    </font>
    <font>
      <b/>
      <sz val="12"/>
      <name val="Times New Roman"/>
      <family val="1"/>
    </font>
    <font>
      <b/>
      <u val="doubleAccounting"/>
      <sz val="12"/>
      <name val="Times New Roman"/>
      <family val="1"/>
    </font>
    <font>
      <sz val="12"/>
      <name val="Calibri"/>
      <family val="2"/>
    </font>
    <font>
      <sz val="10"/>
      <color indexed="8"/>
      <name val="Arial"/>
      <family val="2"/>
    </font>
    <font>
      <b/>
      <sz val="10"/>
      <color indexed="9"/>
      <name val="Arial"/>
      <family val="2"/>
    </font>
    <font>
      <sz val="10"/>
      <color indexed="8"/>
      <name val="Times New Roman"/>
      <family val="1"/>
    </font>
    <font>
      <b/>
      <sz val="10"/>
      <color indexed="8"/>
      <name val="Arial"/>
      <family val="2"/>
    </font>
    <font>
      <b/>
      <sz val="14"/>
      <name val="Calibri"/>
      <family val="2"/>
    </font>
    <font>
      <sz val="10"/>
      <name val="Calibri"/>
      <family val="2"/>
    </font>
    <font>
      <b/>
      <sz val="10"/>
      <name val="Calibri"/>
      <family val="2"/>
    </font>
    <font>
      <b/>
      <sz val="12"/>
      <name val="Calibri"/>
      <family val="2"/>
    </font>
    <font>
      <b/>
      <sz val="16"/>
      <name val="Calibri"/>
      <family val="2"/>
    </font>
    <font>
      <b/>
      <i/>
      <sz val="14"/>
      <name val="Calibri"/>
      <family val="2"/>
    </font>
    <font>
      <b/>
      <i/>
      <sz val="12"/>
      <name val="Calibri"/>
      <family val="2"/>
    </font>
    <font>
      <sz val="12"/>
      <color indexed="56"/>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10"/>
      <name val="Calibri"/>
      <family val="2"/>
    </font>
    <font>
      <sz val="11"/>
      <color indexed="19"/>
      <name val="Calibri"/>
      <family val="2"/>
    </font>
    <font>
      <sz val="12"/>
      <name val="Helv"/>
    </font>
    <font>
      <b/>
      <sz val="11"/>
      <color indexed="63"/>
      <name val="Calibri"/>
      <family val="2"/>
    </font>
    <font>
      <b/>
      <sz val="18"/>
      <color indexed="62"/>
      <name val="Cambria"/>
      <family val="2"/>
    </font>
    <font>
      <b/>
      <sz val="11"/>
      <color indexed="8"/>
      <name val="Calibri"/>
      <family val="2"/>
    </font>
    <font>
      <sz val="10"/>
      <name val="Times New Roman"/>
      <family val="1"/>
      <charset val="204"/>
    </font>
    <font>
      <b/>
      <i/>
      <sz val="12"/>
      <color indexed="56"/>
      <name val="Calibri"/>
      <family val="2"/>
    </font>
    <font>
      <sz val="14"/>
      <color indexed="8"/>
      <name val="Arial"/>
      <family val="2"/>
    </font>
    <font>
      <b/>
      <sz val="12"/>
      <color indexed="8"/>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0"/>
      <color rgb="FF000000"/>
      <name val="Times New Roman"/>
      <family val="1"/>
    </font>
    <font>
      <sz val="11"/>
      <color indexed="8"/>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0"/>
      <color rgb="FFFF0000"/>
      <name val="Times New Roman"/>
      <family val="1"/>
    </font>
    <font>
      <b/>
      <i/>
      <u/>
      <sz val="14"/>
      <color rgb="FF1F497D"/>
      <name val="Calibri"/>
      <family val="2"/>
    </font>
    <font>
      <sz val="12"/>
      <color rgb="FF1F497D"/>
      <name val="Calibri"/>
      <family val="2"/>
    </font>
    <font>
      <sz val="12"/>
      <color rgb="FF000000"/>
      <name val="Calibri"/>
      <family val="2"/>
    </font>
    <font>
      <u val="singleAccounting"/>
      <sz val="12"/>
      <color rgb="FF1F497D"/>
      <name val="Calibri"/>
      <family val="2"/>
    </font>
    <font>
      <sz val="10"/>
      <name val="Calibri"/>
      <family val="2"/>
      <scheme val="minor"/>
    </font>
    <font>
      <b/>
      <sz val="10"/>
      <name val="Calibri"/>
      <family val="2"/>
      <scheme val="minor"/>
    </font>
    <font>
      <b/>
      <sz val="12"/>
      <name val="Calibri"/>
      <family val="2"/>
      <scheme val="minor"/>
    </font>
    <font>
      <sz val="12"/>
      <name val="Calibri"/>
      <family val="2"/>
      <scheme val="minor"/>
    </font>
    <font>
      <b/>
      <u val="doubleAccounting"/>
      <sz val="12"/>
      <name val="Calibri"/>
      <family val="2"/>
      <scheme val="minor"/>
    </font>
    <font>
      <sz val="10"/>
      <color rgb="FF000000"/>
      <name val="Calibri"/>
      <family val="2"/>
    </font>
    <font>
      <b/>
      <sz val="16"/>
      <name val="Calibri"/>
      <family val="2"/>
      <scheme val="minor"/>
    </font>
    <font>
      <b/>
      <u/>
      <sz val="11"/>
      <color theme="1"/>
      <name val="Calibri"/>
      <family val="2"/>
      <scheme val="minor"/>
    </font>
    <font>
      <i/>
      <sz val="11"/>
      <color theme="1"/>
      <name val="Calibri"/>
      <family val="2"/>
      <scheme val="minor"/>
    </font>
    <font>
      <b/>
      <sz val="12"/>
      <color rgb="FF1F497D"/>
      <name val="Calibri"/>
      <family val="2"/>
    </font>
    <font>
      <b/>
      <i/>
      <u/>
      <sz val="10"/>
      <color rgb="FF1F497D"/>
      <name val="Calibri"/>
      <family val="2"/>
    </font>
    <font>
      <sz val="10"/>
      <color rgb="FF000000"/>
      <name val="Arial"/>
      <family val="2"/>
    </font>
    <font>
      <sz val="20"/>
      <color theme="1"/>
      <name val="Calibri"/>
      <family val="2"/>
      <scheme val="minor"/>
    </font>
    <font>
      <b/>
      <sz val="16"/>
      <color theme="1"/>
      <name val="Calibri"/>
      <family val="2"/>
      <scheme val="minor"/>
    </font>
    <font>
      <b/>
      <sz val="10"/>
      <color theme="9" tint="-0.499984740745262"/>
      <name val="Arial"/>
      <family val="2"/>
    </font>
    <font>
      <b/>
      <sz val="18"/>
      <color rgb="FFFF0000"/>
      <name val="Arial"/>
      <family val="2"/>
    </font>
    <font>
      <b/>
      <sz val="20"/>
      <color rgb="FFFF0000"/>
      <name val="Arial"/>
      <family val="2"/>
    </font>
    <font>
      <b/>
      <sz val="22"/>
      <color rgb="FFFF0000"/>
      <name val="Arial"/>
      <family val="2"/>
    </font>
    <font>
      <b/>
      <sz val="26"/>
      <color rgb="FFFF0000"/>
      <name val="Calibri"/>
      <family val="2"/>
    </font>
    <font>
      <sz val="14"/>
      <name val="Calibri"/>
      <family val="2"/>
    </font>
    <font>
      <b/>
      <sz val="11"/>
      <name val="Arial"/>
      <family val="2"/>
    </font>
    <font>
      <b/>
      <sz val="11"/>
      <color indexed="8"/>
      <name val="Calibri"/>
      <family val="2"/>
      <scheme val="minor"/>
    </font>
    <font>
      <sz val="11"/>
      <color rgb="FF000000"/>
      <name val="Helvetica"/>
    </font>
    <font>
      <b/>
      <sz val="11"/>
      <color rgb="FF000000"/>
      <name val="Helvetica"/>
    </font>
    <font>
      <b/>
      <sz val="13"/>
      <color rgb="FF000000"/>
      <name val="Helvetica"/>
    </font>
    <font>
      <sz val="20"/>
      <color rgb="FFFF0000"/>
      <name val="Arial"/>
      <family val="2"/>
    </font>
    <font>
      <sz val="11"/>
      <name val="Calibri"/>
      <family val="2"/>
    </font>
    <font>
      <u/>
      <sz val="11"/>
      <name val="Calibri"/>
      <family val="2"/>
    </font>
    <font>
      <b/>
      <sz val="10"/>
      <color rgb="FFFF0000"/>
      <name val="Arial"/>
      <family val="2"/>
    </font>
    <font>
      <b/>
      <i/>
      <sz val="10"/>
      <color rgb="FFFF0000"/>
      <name val="Times New Roman"/>
      <family val="1"/>
    </font>
    <font>
      <b/>
      <i/>
      <sz val="14"/>
      <color rgb="FFFF0000"/>
      <name val="Calibri"/>
      <family val="2"/>
    </font>
    <font>
      <b/>
      <i/>
      <sz val="11"/>
      <name val="Calibri"/>
      <family val="2"/>
    </font>
    <font>
      <b/>
      <i/>
      <sz val="10"/>
      <color rgb="FFFF0000"/>
      <name val="Arial"/>
      <family val="2"/>
    </font>
    <font>
      <b/>
      <sz val="12"/>
      <color rgb="FFFF0000"/>
      <name val="Calibri"/>
      <family val="2"/>
    </font>
    <font>
      <b/>
      <sz val="12"/>
      <color rgb="FFFFFFFF"/>
      <name val="Calibri"/>
      <family val="2"/>
    </font>
    <font>
      <b/>
      <sz val="14"/>
      <color rgb="FFFFFFFF"/>
      <name val="Calibri"/>
      <family val="2"/>
    </font>
    <font>
      <b/>
      <i/>
      <sz val="14"/>
      <color rgb="FFFFFFFF"/>
      <name val="Calibri"/>
      <family val="2"/>
    </font>
    <font>
      <b/>
      <sz val="18"/>
      <color rgb="FF000000"/>
      <name val="Calibri"/>
      <family val="2"/>
    </font>
    <font>
      <sz val="18"/>
      <name val="Calibri"/>
      <family val="2"/>
    </font>
  </fonts>
  <fills count="78">
    <fill>
      <patternFill patternType="none"/>
    </fill>
    <fill>
      <patternFill patternType="gray125"/>
    </fill>
    <fill>
      <patternFill patternType="solid">
        <fgColor indexed="44"/>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43"/>
      </patternFill>
    </fill>
    <fill>
      <patternFill patternType="solid">
        <fgColor indexed="51"/>
      </patternFill>
    </fill>
    <fill>
      <patternFill patternType="solid">
        <fgColor indexed="53"/>
      </patternFill>
    </fill>
    <fill>
      <patternFill patternType="solid">
        <fgColor indexed="49"/>
      </patternFill>
    </fill>
    <fill>
      <patternFill patternType="solid">
        <fgColor indexed="56"/>
      </patternFill>
    </fill>
    <fill>
      <patternFill patternType="solid">
        <fgColor indexed="10"/>
      </patternFill>
    </fill>
    <fill>
      <patternFill patternType="solid">
        <fgColor indexed="54"/>
      </patternFill>
    </fill>
    <fill>
      <patternFill patternType="solid">
        <fgColor indexed="22"/>
      </patternFill>
    </fill>
    <fill>
      <patternFill patternType="solid">
        <fgColor indexed="9"/>
      </patternFill>
    </fill>
    <fill>
      <patternFill patternType="solid">
        <fgColor indexed="55"/>
      </patternFill>
    </fill>
    <fill>
      <patternFill patternType="solid">
        <fgColor indexed="22"/>
        <bgColor indexed="64"/>
      </patternFill>
    </fill>
    <fill>
      <patternFill patternType="solid">
        <fgColor indexed="43"/>
        <bgColor indexed="64"/>
      </patternFill>
    </fill>
    <fill>
      <patternFill patternType="solid">
        <fgColor indexed="18"/>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FF00"/>
        <bgColor indexed="64"/>
      </patternFill>
    </fill>
    <fill>
      <patternFill patternType="solid">
        <fgColor theme="5" tint="0.39997558519241921"/>
        <bgColor indexed="64"/>
      </patternFill>
    </fill>
    <fill>
      <patternFill patternType="solid">
        <fgColor theme="6" tint="0.39997558519241921"/>
        <bgColor indexed="64"/>
      </patternFill>
    </fill>
    <fill>
      <patternFill patternType="lightUp">
        <bgColor theme="0" tint="-0.24994659260841701"/>
      </patternFill>
    </fill>
    <fill>
      <patternFill patternType="solid">
        <fgColor theme="8" tint="0.39997558519241921"/>
        <bgColor indexed="64"/>
      </patternFill>
    </fill>
    <fill>
      <patternFill patternType="solid">
        <fgColor theme="9" tint="0.59999389629810485"/>
        <bgColor indexed="64"/>
      </patternFill>
    </fill>
    <fill>
      <patternFill patternType="solid">
        <fgColor rgb="FFFFFF99"/>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2" tint="-0.249977111117893"/>
        <bgColor indexed="64"/>
      </patternFill>
    </fill>
    <fill>
      <patternFill patternType="solid">
        <fgColor rgb="FFFFFFCC"/>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rgb="FF99BCCF"/>
      </patternFill>
    </fill>
    <fill>
      <patternFill patternType="solid">
        <fgColor theme="2"/>
        <bgColor indexed="64"/>
      </patternFill>
    </fill>
    <fill>
      <patternFill patternType="solid">
        <fgColor theme="8" tint="0.59999389629810485"/>
        <bgColor indexed="64"/>
      </patternFill>
    </fill>
    <fill>
      <patternFill patternType="solid">
        <fgColor rgb="FFFF0000"/>
        <bgColor indexed="64"/>
      </patternFill>
    </fill>
    <fill>
      <patternFill patternType="solid">
        <fgColor rgb="FFF8CBAD"/>
        <bgColor indexed="64"/>
      </patternFill>
    </fill>
    <fill>
      <patternFill patternType="solid">
        <fgColor rgb="FFE7E6E6"/>
        <bgColor indexed="64"/>
      </patternFill>
    </fill>
    <fill>
      <patternFill patternType="solid">
        <fgColor rgb="FF70AD47"/>
        <bgColor indexed="64"/>
      </patternFill>
    </fill>
    <fill>
      <patternFill patternType="solid">
        <fgColor rgb="FFBF8F00"/>
        <bgColor indexed="64"/>
      </patternFill>
    </fill>
    <fill>
      <patternFill patternType="solid">
        <fgColor rgb="FFC00000"/>
        <bgColor indexed="64"/>
      </patternFill>
    </fill>
  </fills>
  <borders count="6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8"/>
      </top>
      <bottom/>
      <diagonal/>
    </border>
    <border>
      <left/>
      <right/>
      <top style="thin">
        <color indexed="56"/>
      </top>
      <bottom style="double">
        <color indexed="56"/>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right/>
      <top style="medium">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bottom style="medium">
        <color indexed="64"/>
      </bottom>
      <diagonal/>
    </border>
    <border>
      <left/>
      <right/>
      <top style="medium">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000000"/>
      </left>
      <right style="thin">
        <color rgb="FF000000"/>
      </right>
      <top style="thin">
        <color rgb="FF000000"/>
      </top>
      <bottom style="thin">
        <color rgb="FF000000"/>
      </bottom>
      <diagonal/>
    </border>
    <border>
      <left style="hair">
        <color rgb="FF000000"/>
      </left>
      <right style="hair">
        <color rgb="FF000000"/>
      </right>
      <top style="hair">
        <color rgb="FF000000"/>
      </top>
      <bottom style="hair">
        <color rgb="FF000000"/>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right/>
      <top style="double">
        <color auto="1"/>
      </top>
      <bottom style="double">
        <color auto="1"/>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top/>
      <bottom/>
      <diagonal/>
    </border>
    <border>
      <left/>
      <right style="medium">
        <color rgb="FF000000"/>
      </right>
      <top/>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114">
    <xf numFmtId="0" fontId="0" fillId="0" borderId="0"/>
    <xf numFmtId="0" fontId="57" fillId="22" borderId="0" applyNumberFormat="0" applyBorder="0" applyAlignment="0" applyProtection="0"/>
    <xf numFmtId="0" fontId="7" fillId="2" borderId="0" applyNumberFormat="0" applyBorder="0" applyAlignment="0" applyProtection="0"/>
    <xf numFmtId="0" fontId="57" fillId="23" borderId="0" applyNumberFormat="0" applyBorder="0" applyAlignment="0" applyProtection="0"/>
    <xf numFmtId="0" fontId="7" fillId="4" borderId="0" applyNumberFormat="0" applyBorder="0" applyAlignment="0" applyProtection="0"/>
    <xf numFmtId="0" fontId="57" fillId="24" borderId="0" applyNumberFormat="0" applyBorder="0" applyAlignment="0" applyProtection="0"/>
    <xf numFmtId="0" fontId="7" fillId="5" borderId="0" applyNumberFormat="0" applyBorder="0" applyAlignment="0" applyProtection="0"/>
    <xf numFmtId="0" fontId="57" fillId="25" borderId="0" applyNumberFormat="0" applyBorder="0" applyAlignment="0" applyProtection="0"/>
    <xf numFmtId="0" fontId="7" fillId="7" borderId="0" applyNumberFormat="0" applyBorder="0" applyAlignment="0" applyProtection="0"/>
    <xf numFmtId="0" fontId="57" fillId="26" borderId="0" applyNumberFormat="0" applyBorder="0" applyAlignment="0" applyProtection="0"/>
    <xf numFmtId="0" fontId="7" fillId="8" borderId="0" applyNumberFormat="0" applyBorder="0" applyAlignment="0" applyProtection="0"/>
    <xf numFmtId="0" fontId="57" fillId="27" borderId="0" applyNumberFormat="0" applyBorder="0" applyAlignment="0" applyProtection="0"/>
    <xf numFmtId="0" fontId="7" fillId="5" borderId="0" applyNumberFormat="0" applyBorder="0" applyAlignment="0" applyProtection="0"/>
    <xf numFmtId="0" fontId="57" fillId="28" borderId="0" applyNumberFormat="0" applyBorder="0" applyAlignment="0" applyProtection="0"/>
    <xf numFmtId="0" fontId="7" fillId="8" borderId="0" applyNumberFormat="0" applyBorder="0" applyAlignment="0" applyProtection="0"/>
    <xf numFmtId="0" fontId="57" fillId="29" borderId="0" applyNumberFormat="0" applyBorder="0" applyAlignment="0" applyProtection="0"/>
    <xf numFmtId="0" fontId="7" fillId="4" borderId="0" applyNumberFormat="0" applyBorder="0" applyAlignment="0" applyProtection="0"/>
    <xf numFmtId="0" fontId="57" fillId="30" borderId="0" applyNumberFormat="0" applyBorder="0" applyAlignment="0" applyProtection="0"/>
    <xf numFmtId="0" fontId="7" fillId="9" borderId="0" applyNumberFormat="0" applyBorder="0" applyAlignment="0" applyProtection="0"/>
    <xf numFmtId="0" fontId="57" fillId="31" borderId="0" applyNumberFormat="0" applyBorder="0" applyAlignment="0" applyProtection="0"/>
    <xf numFmtId="0" fontId="7" fillId="3" borderId="0" applyNumberFormat="0" applyBorder="0" applyAlignment="0" applyProtection="0"/>
    <xf numFmtId="0" fontId="57" fillId="32" borderId="0" applyNumberFormat="0" applyBorder="0" applyAlignment="0" applyProtection="0"/>
    <xf numFmtId="0" fontId="7" fillId="8" borderId="0" applyNumberFormat="0" applyBorder="0" applyAlignment="0" applyProtection="0"/>
    <xf numFmtId="0" fontId="57" fillId="33" borderId="0" applyNumberFormat="0" applyBorder="0" applyAlignment="0" applyProtection="0"/>
    <xf numFmtId="0" fontId="7" fillId="5" borderId="0" applyNumberFormat="0" applyBorder="0" applyAlignment="0" applyProtection="0"/>
    <xf numFmtId="0" fontId="58" fillId="34" borderId="0" applyNumberFormat="0" applyBorder="0" applyAlignment="0" applyProtection="0"/>
    <xf numFmtId="0" fontId="37" fillId="8" borderId="0" applyNumberFormat="0" applyBorder="0" applyAlignment="0" applyProtection="0"/>
    <xf numFmtId="0" fontId="58" fillId="35" borderId="0" applyNumberFormat="0" applyBorder="0" applyAlignment="0" applyProtection="0"/>
    <xf numFmtId="0" fontId="37" fillId="11" borderId="0" applyNumberFormat="0" applyBorder="0" applyAlignment="0" applyProtection="0"/>
    <xf numFmtId="0" fontId="58" fillId="36" borderId="0" applyNumberFormat="0" applyBorder="0" applyAlignment="0" applyProtection="0"/>
    <xf numFmtId="0" fontId="37" fillId="10" borderId="0" applyNumberFormat="0" applyBorder="0" applyAlignment="0" applyProtection="0"/>
    <xf numFmtId="0" fontId="58" fillId="37" borderId="0" applyNumberFormat="0" applyBorder="0" applyAlignment="0" applyProtection="0"/>
    <xf numFmtId="0" fontId="37" fillId="3" borderId="0" applyNumberFormat="0" applyBorder="0" applyAlignment="0" applyProtection="0"/>
    <xf numFmtId="0" fontId="58" fillId="38" borderId="0" applyNumberFormat="0" applyBorder="0" applyAlignment="0" applyProtection="0"/>
    <xf numFmtId="0" fontId="37" fillId="8" borderId="0" applyNumberFormat="0" applyBorder="0" applyAlignment="0" applyProtection="0"/>
    <xf numFmtId="0" fontId="58" fillId="39" borderId="0" applyNumberFormat="0" applyBorder="0" applyAlignment="0" applyProtection="0"/>
    <xf numFmtId="0" fontId="37" fillId="4" borderId="0" applyNumberFormat="0" applyBorder="0" applyAlignment="0" applyProtection="0"/>
    <xf numFmtId="0" fontId="58" fillId="40" borderId="0" applyNumberFormat="0" applyBorder="0" applyAlignment="0" applyProtection="0"/>
    <xf numFmtId="0" fontId="37" fillId="13" borderId="0" applyNumberFormat="0" applyBorder="0" applyAlignment="0" applyProtection="0"/>
    <xf numFmtId="0" fontId="58" fillId="41" borderId="0" applyNumberFormat="0" applyBorder="0" applyAlignment="0" applyProtection="0"/>
    <xf numFmtId="0" fontId="37" fillId="11" borderId="0" applyNumberFormat="0" applyBorder="0" applyAlignment="0" applyProtection="0"/>
    <xf numFmtId="0" fontId="58" fillId="42" borderId="0" applyNumberFormat="0" applyBorder="0" applyAlignment="0" applyProtection="0"/>
    <xf numFmtId="0" fontId="37" fillId="10" borderId="0" applyNumberFormat="0" applyBorder="0" applyAlignment="0" applyProtection="0"/>
    <xf numFmtId="0" fontId="58" fillId="43" borderId="0" applyNumberFormat="0" applyBorder="0" applyAlignment="0" applyProtection="0"/>
    <xf numFmtId="0" fontId="37" fillId="15" borderId="0" applyNumberFormat="0" applyBorder="0" applyAlignment="0" applyProtection="0"/>
    <xf numFmtId="0" fontId="58" fillId="44" borderId="0" applyNumberFormat="0" applyBorder="0" applyAlignment="0" applyProtection="0"/>
    <xf numFmtId="0" fontId="37" fillId="12" borderId="0" applyNumberFormat="0" applyBorder="0" applyAlignment="0" applyProtection="0"/>
    <xf numFmtId="0" fontId="58" fillId="45" borderId="0" applyNumberFormat="0" applyBorder="0" applyAlignment="0" applyProtection="0"/>
    <xf numFmtId="0" fontId="37" fillId="14" borderId="0" applyNumberFormat="0" applyBorder="0" applyAlignment="0" applyProtection="0"/>
    <xf numFmtId="0" fontId="59" fillId="46" borderId="0" applyNumberFormat="0" applyBorder="0" applyAlignment="0" applyProtection="0"/>
    <xf numFmtId="0" fontId="38" fillId="6" borderId="0" applyNumberFormat="0" applyBorder="0" applyAlignment="0" applyProtection="0"/>
    <xf numFmtId="0" fontId="60" fillId="47" borderId="38" applyNumberFormat="0" applyAlignment="0" applyProtection="0"/>
    <xf numFmtId="0" fontId="39" fillId="17" borderId="1" applyNumberFormat="0" applyAlignment="0" applyProtection="0"/>
    <xf numFmtId="0" fontId="61" fillId="48" borderId="39" applyNumberFormat="0" applyAlignment="0" applyProtection="0"/>
    <xf numFmtId="0" fontId="40" fillId="18" borderId="2" applyNumberFormat="0" applyAlignment="0" applyProtection="0"/>
    <xf numFmtId="43" fontId="1" fillId="0" borderId="0" applyFont="0" applyFill="0" applyBorder="0" applyAlignment="0" applyProtection="0"/>
    <xf numFmtId="43" fontId="7" fillId="0" borderId="0" applyFont="0" applyFill="0" applyBorder="0" applyAlignment="0" applyProtection="0"/>
    <xf numFmtId="43" fontId="57" fillId="0" borderId="0" applyFont="0" applyFill="0" applyBorder="0" applyAlignment="0" applyProtection="0"/>
    <xf numFmtId="43" fontId="53" fillId="0" borderId="0" applyFont="0" applyFill="0" applyBorder="0" applyAlignment="0" applyProtection="0">
      <alignment vertical="top" wrapText="1"/>
    </xf>
    <xf numFmtId="43" fontId="6" fillId="0" borderId="0" applyFont="0" applyFill="0" applyBorder="0" applyAlignment="0" applyProtection="0"/>
    <xf numFmtId="43" fontId="57" fillId="0" borderId="0" applyFont="0" applyFill="0" applyBorder="0" applyAlignment="0" applyProtection="0"/>
    <xf numFmtId="3"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5" fontId="1" fillId="0" borderId="0" applyFont="0" applyFill="0" applyBorder="0" applyAlignment="0" applyProtection="0"/>
    <xf numFmtId="0" fontId="1" fillId="0" borderId="0" applyFont="0" applyFill="0" applyBorder="0" applyAlignment="0" applyProtection="0"/>
    <xf numFmtId="0" fontId="62" fillId="0" borderId="0" applyNumberFormat="0" applyFill="0" applyBorder="0" applyAlignment="0" applyProtection="0"/>
    <xf numFmtId="0" fontId="41" fillId="0" borderId="0" applyNumberFormat="0" applyFill="0" applyBorder="0" applyAlignment="0" applyProtection="0"/>
    <xf numFmtId="2" fontId="1" fillId="0" borderId="0" applyFont="0" applyFill="0" applyBorder="0" applyAlignment="0" applyProtection="0"/>
    <xf numFmtId="0" fontId="63" fillId="49" borderId="0" applyNumberFormat="0" applyBorder="0" applyAlignment="0" applyProtection="0"/>
    <xf numFmtId="0" fontId="42" fillId="8" borderId="0" applyNumberFormat="0" applyBorder="0" applyAlignment="0" applyProtection="0"/>
    <xf numFmtId="0" fontId="3" fillId="0" borderId="0" applyNumberFormat="0" applyFill="0" applyBorder="0" applyAlignment="0" applyProtection="0"/>
    <xf numFmtId="0" fontId="43" fillId="0" borderId="3" applyNumberFormat="0" applyFill="0" applyAlignment="0" applyProtection="0"/>
    <xf numFmtId="0" fontId="64" fillId="0" borderId="40" applyNumberFormat="0" applyFill="0" applyAlignment="0" applyProtection="0"/>
    <xf numFmtId="0" fontId="4" fillId="0" borderId="0" applyNumberFormat="0" applyFill="0" applyBorder="0" applyAlignment="0" applyProtection="0"/>
    <xf numFmtId="0" fontId="44" fillId="0" borderId="4" applyNumberFormat="0" applyFill="0" applyAlignment="0" applyProtection="0"/>
    <xf numFmtId="0" fontId="65" fillId="0" borderId="41" applyNumberFormat="0" applyFill="0" applyAlignment="0" applyProtection="0"/>
    <xf numFmtId="0" fontId="66" fillId="0" borderId="42" applyNumberFormat="0" applyFill="0" applyAlignment="0" applyProtection="0"/>
    <xf numFmtId="0" fontId="45" fillId="0" borderId="5" applyNumberFormat="0" applyFill="0" applyAlignment="0" applyProtection="0"/>
    <xf numFmtId="0" fontId="66" fillId="0" borderId="0" applyNumberFormat="0" applyFill="0" applyBorder="0" applyAlignment="0" applyProtection="0"/>
    <xf numFmtId="0" fontId="45"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67" fillId="50" borderId="38" applyNumberFormat="0" applyAlignment="0" applyProtection="0"/>
    <xf numFmtId="0" fontId="46" fillId="9" borderId="1" applyNumberFormat="0" applyAlignment="0" applyProtection="0"/>
    <xf numFmtId="0" fontId="68" fillId="0" borderId="43" applyNumberFormat="0" applyFill="0" applyAlignment="0" applyProtection="0"/>
    <xf numFmtId="0" fontId="47" fillId="0" borderId="6" applyNumberFormat="0" applyFill="0" applyAlignment="0" applyProtection="0"/>
    <xf numFmtId="172" fontId="1" fillId="0" borderId="0" applyFont="0" applyFill="0" applyBorder="0" applyAlignment="0" applyProtection="0"/>
    <xf numFmtId="173" fontId="1" fillId="0" borderId="0" applyFont="0" applyFill="0" applyBorder="0" applyAlignment="0" applyProtection="0"/>
    <xf numFmtId="0" fontId="69" fillId="51" borderId="0" applyNumberFormat="0" applyBorder="0" applyAlignment="0" applyProtection="0"/>
    <xf numFmtId="0" fontId="48" fillId="9" borderId="0" applyNumberFormat="0" applyBorder="0" applyAlignment="0" applyProtection="0"/>
    <xf numFmtId="0" fontId="6" fillId="0" borderId="0"/>
    <xf numFmtId="0" fontId="1" fillId="0" borderId="0"/>
    <xf numFmtId="0" fontId="53" fillId="0" borderId="0" applyNumberFormat="0" applyFill="0" applyBorder="0" applyProtection="0">
      <alignment vertical="top" wrapText="1"/>
    </xf>
    <xf numFmtId="0" fontId="57" fillId="0" borderId="0"/>
    <xf numFmtId="0" fontId="70" fillId="0" borderId="0"/>
    <xf numFmtId="0" fontId="70" fillId="0" borderId="0"/>
    <xf numFmtId="0" fontId="57" fillId="0" borderId="0"/>
    <xf numFmtId="0" fontId="71" fillId="0" borderId="0"/>
    <xf numFmtId="0" fontId="49" fillId="5" borderId="7" applyNumberFormat="0" applyFont="0" applyAlignment="0" applyProtection="0"/>
    <xf numFmtId="0" fontId="57" fillId="52" borderId="44" applyNumberFormat="0" applyFont="0" applyAlignment="0" applyProtection="0"/>
    <xf numFmtId="0" fontId="72" fillId="47" borderId="45" applyNumberFormat="0" applyAlignment="0" applyProtection="0"/>
    <xf numFmtId="0" fontId="50" fillId="17" borderId="8" applyNumberFormat="0" applyAlignment="0" applyProtection="0"/>
    <xf numFmtId="9" fontId="1" fillId="0" borderId="0" applyFont="0" applyFill="0" applyBorder="0" applyAlignment="0" applyProtection="0"/>
    <xf numFmtId="0" fontId="73" fillId="0" borderId="0" applyNumberFormat="0" applyFill="0" applyBorder="0" applyAlignment="0" applyProtection="0"/>
    <xf numFmtId="0" fontId="51" fillId="0" borderId="0" applyNumberFormat="0" applyFill="0" applyBorder="0" applyAlignment="0" applyProtection="0"/>
    <xf numFmtId="0" fontId="1" fillId="0" borderId="9" applyNumberFormat="0" applyFont="0" applyFill="0" applyAlignment="0" applyProtection="0"/>
    <xf numFmtId="0" fontId="52" fillId="0" borderId="10" applyNumberFormat="0" applyFill="0" applyAlignment="0" applyProtection="0"/>
    <xf numFmtId="0" fontId="74" fillId="0" borderId="46" applyNumberFormat="0" applyFill="0" applyAlignment="0" applyProtection="0"/>
    <xf numFmtId="0" fontId="75" fillId="0" borderId="0" applyNumberFormat="0" applyFill="0" applyBorder="0" applyAlignment="0" applyProtection="0"/>
    <xf numFmtId="0" fontId="47" fillId="0" borderId="0" applyNumberFormat="0" applyFill="0" applyBorder="0" applyAlignment="0" applyProtection="0"/>
    <xf numFmtId="43" fontId="71" fillId="0" borderId="0" applyFont="0" applyFill="0" applyBorder="0" applyAlignment="0" applyProtection="0"/>
    <xf numFmtId="0" fontId="24" fillId="0" borderId="0"/>
    <xf numFmtId="43" fontId="24" fillId="0" borderId="0" applyFont="0" applyFill="0" applyBorder="0" applyAlignment="0" applyProtection="0"/>
  </cellStyleXfs>
  <cellXfs count="554">
    <xf numFmtId="0" fontId="0" fillId="0" borderId="0" xfId="0"/>
    <xf numFmtId="0" fontId="5" fillId="0" borderId="0" xfId="0" applyFont="1" applyAlignment="1">
      <alignment horizontal="right"/>
    </xf>
    <xf numFmtId="0" fontId="9" fillId="0" borderId="0" xfId="0" applyFont="1"/>
    <xf numFmtId="0" fontId="9" fillId="0" borderId="0" xfId="0" applyFont="1" applyBorder="1"/>
    <xf numFmtId="0" fontId="11" fillId="0" borderId="0" xfId="0" applyFont="1" applyBorder="1"/>
    <xf numFmtId="0" fontId="11" fillId="0" borderId="12" xfId="0" applyFont="1" applyBorder="1" applyAlignment="1"/>
    <xf numFmtId="0" fontId="11" fillId="0" borderId="0" xfId="0" applyFont="1" applyBorder="1" applyAlignment="1"/>
    <xf numFmtId="0" fontId="11" fillId="0" borderId="13" xfId="0" applyFont="1" applyBorder="1" applyAlignment="1">
      <alignment horizontal="center"/>
    </xf>
    <xf numFmtId="167" fontId="9" fillId="0" borderId="15" xfId="0" applyNumberFormat="1" applyFont="1" applyFill="1" applyBorder="1" applyAlignment="1">
      <alignment horizontal="center"/>
    </xf>
    <xf numFmtId="0" fontId="9" fillId="0" borderId="17" xfId="0" applyFont="1" applyBorder="1"/>
    <xf numFmtId="167" fontId="9" fillId="0" borderId="0" xfId="55" applyNumberFormat="1" applyFont="1" applyFill="1" applyBorder="1" applyAlignment="1">
      <alignment horizontal="center"/>
    </xf>
    <xf numFmtId="167" fontId="9" fillId="0" borderId="0" xfId="55" applyNumberFormat="1" applyFont="1" applyBorder="1" applyAlignment="1">
      <alignment horizontal="center"/>
    </xf>
    <xf numFmtId="168" fontId="9" fillId="0" borderId="0" xfId="0" applyNumberFormat="1" applyFont="1" applyBorder="1" applyAlignment="1">
      <alignment horizontal="center"/>
    </xf>
    <xf numFmtId="0" fontId="12" fillId="0" borderId="0" xfId="0" applyFont="1" applyBorder="1"/>
    <xf numFmtId="167" fontId="9" fillId="0" borderId="0" xfId="0" applyNumberFormat="1" applyFont="1" applyFill="1" applyBorder="1" applyAlignment="1">
      <alignment horizontal="center"/>
    </xf>
    <xf numFmtId="167" fontId="9" fillId="0" borderId="0" xfId="0" applyNumberFormat="1" applyFont="1" applyBorder="1" applyAlignment="1">
      <alignment horizontal="center"/>
    </xf>
    <xf numFmtId="0" fontId="9" fillId="0" borderId="15" xfId="0" applyFont="1" applyBorder="1"/>
    <xf numFmtId="168" fontId="11" fillId="0" borderId="15" xfId="0" applyNumberFormat="1" applyFont="1" applyBorder="1" applyAlignment="1">
      <alignment horizontal="center"/>
    </xf>
    <xf numFmtId="0" fontId="9" fillId="0" borderId="16" xfId="0" applyFont="1" applyBorder="1"/>
    <xf numFmtId="168" fontId="11" fillId="0" borderId="16" xfId="0" applyNumberFormat="1" applyFont="1" applyBorder="1" applyAlignment="1">
      <alignment horizontal="center"/>
    </xf>
    <xf numFmtId="168" fontId="9" fillId="0" borderId="16" xfId="0" applyNumberFormat="1" applyFont="1" applyBorder="1" applyAlignment="1">
      <alignment horizontal="center"/>
    </xf>
    <xf numFmtId="0" fontId="9" fillId="53" borderId="47" xfId="0" applyFont="1" applyFill="1" applyBorder="1"/>
    <xf numFmtId="0" fontId="9" fillId="53" borderId="48" xfId="0" applyFont="1" applyFill="1" applyBorder="1"/>
    <xf numFmtId="168" fontId="10" fillId="0" borderId="15" xfId="0" applyNumberFormat="1" applyFont="1" applyBorder="1" applyAlignment="1">
      <alignment horizontal="center"/>
    </xf>
    <xf numFmtId="167" fontId="9" fillId="0" borderId="17" xfId="55" applyNumberFormat="1" applyFont="1" applyFill="1" applyBorder="1" applyAlignment="1">
      <alignment horizontal="center"/>
    </xf>
    <xf numFmtId="167" fontId="9" fillId="0" borderId="17" xfId="55" applyNumberFormat="1" applyFont="1" applyBorder="1" applyAlignment="1">
      <alignment horizontal="center"/>
    </xf>
    <xf numFmtId="168" fontId="9" fillId="0" borderId="17" xfId="0" applyNumberFormat="1" applyFont="1" applyBorder="1" applyAlignment="1">
      <alignment horizontal="center"/>
    </xf>
    <xf numFmtId="168" fontId="11" fillId="0" borderId="0" xfId="0" applyNumberFormat="1" applyFont="1" applyBorder="1" applyAlignment="1">
      <alignment horizontal="center"/>
    </xf>
    <xf numFmtId="167" fontId="9" fillId="0" borderId="16" xfId="55" applyNumberFormat="1" applyFont="1" applyFill="1" applyBorder="1" applyAlignment="1">
      <alignment horizontal="center"/>
    </xf>
    <xf numFmtId="167" fontId="9" fillId="0" borderId="16" xfId="55" applyNumberFormat="1" applyFont="1" applyBorder="1" applyAlignment="1">
      <alignment horizontal="center"/>
    </xf>
    <xf numFmtId="168" fontId="10" fillId="0" borderId="16" xfId="0" applyNumberFormat="1" applyFont="1" applyBorder="1" applyAlignment="1">
      <alignment horizontal="center"/>
    </xf>
    <xf numFmtId="167" fontId="9" fillId="0" borderId="15" xfId="55" applyNumberFormat="1" applyFont="1" applyFill="1" applyBorder="1" applyAlignment="1">
      <alignment horizontal="center"/>
    </xf>
    <xf numFmtId="167" fontId="9" fillId="0" borderId="15" xfId="55" applyNumberFormat="1" applyFont="1" applyBorder="1" applyAlignment="1">
      <alignment horizontal="center"/>
    </xf>
    <xf numFmtId="168" fontId="9" fillId="0" borderId="16" xfId="55" applyNumberFormat="1" applyFont="1" applyBorder="1" applyAlignment="1">
      <alignment horizontal="center"/>
    </xf>
    <xf numFmtId="168" fontId="9" fillId="0" borderId="15" xfId="55" applyNumberFormat="1" applyFont="1" applyBorder="1" applyAlignment="1">
      <alignment horizontal="center"/>
    </xf>
    <xf numFmtId="0" fontId="11" fillId="0" borderId="15" xfId="0" applyFont="1" applyBorder="1"/>
    <xf numFmtId="0" fontId="11" fillId="0" borderId="15" xfId="0" applyFont="1" applyBorder="1" applyAlignment="1">
      <alignment horizontal="right"/>
    </xf>
    <xf numFmtId="167" fontId="11" fillId="0" borderId="16" xfId="55" applyNumberFormat="1" applyFont="1" applyFill="1" applyBorder="1" applyAlignment="1">
      <alignment horizontal="center"/>
    </xf>
    <xf numFmtId="167" fontId="11" fillId="0" borderId="16" xfId="55" applyNumberFormat="1" applyFont="1" applyBorder="1" applyAlignment="1">
      <alignment horizontal="center"/>
    </xf>
    <xf numFmtId="168" fontId="11" fillId="0" borderId="16" xfId="55" applyNumberFormat="1" applyFont="1" applyBorder="1" applyAlignment="1">
      <alignment horizontal="center"/>
    </xf>
    <xf numFmtId="169" fontId="76" fillId="0" borderId="0" xfId="103" applyNumberFormat="1" applyFont="1" applyBorder="1"/>
    <xf numFmtId="169" fontId="76" fillId="0" borderId="0" xfId="103" applyNumberFormat="1" applyFont="1" applyFill="1" applyBorder="1"/>
    <xf numFmtId="0" fontId="11" fillId="0" borderId="12" xfId="0" applyFont="1" applyBorder="1"/>
    <xf numFmtId="0" fontId="9" fillId="0" borderId="12" xfId="0" applyFont="1" applyBorder="1"/>
    <xf numFmtId="0" fontId="9" fillId="0" borderId="18" xfId="0" applyFont="1" applyBorder="1"/>
    <xf numFmtId="166" fontId="9" fillId="0" borderId="18" xfId="55" applyNumberFormat="1" applyFont="1" applyFill="1" applyBorder="1"/>
    <xf numFmtId="0" fontId="9" fillId="19" borderId="0" xfId="0" applyFont="1" applyFill="1" applyBorder="1"/>
    <xf numFmtId="166" fontId="9" fillId="0" borderId="15" xfId="55" applyNumberFormat="1" applyFont="1" applyFill="1" applyBorder="1"/>
    <xf numFmtId="0" fontId="9" fillId="20" borderId="19" xfId="0" applyFont="1" applyFill="1" applyBorder="1" applyAlignment="1">
      <alignment horizontal="center" vertical="center"/>
    </xf>
    <xf numFmtId="0" fontId="9" fillId="20" borderId="20" xfId="0" applyFont="1" applyFill="1" applyBorder="1"/>
    <xf numFmtId="0" fontId="9" fillId="0" borderId="16" xfId="0" applyFont="1" applyFill="1" applyBorder="1"/>
    <xf numFmtId="0" fontId="9" fillId="0" borderId="21" xfId="0" applyFont="1" applyBorder="1"/>
    <xf numFmtId="2" fontId="9" fillId="0" borderId="0" xfId="0" applyNumberFormat="1" applyFont="1"/>
    <xf numFmtId="0" fontId="9" fillId="20" borderId="20" xfId="0" applyFont="1" applyFill="1" applyBorder="1" applyAlignment="1">
      <alignment wrapText="1"/>
    </xf>
    <xf numFmtId="166" fontId="0" fillId="0" borderId="0" xfId="55" applyNumberFormat="1" applyFont="1"/>
    <xf numFmtId="0" fontId="5" fillId="0" borderId="22" xfId="0" applyFont="1" applyBorder="1"/>
    <xf numFmtId="166" fontId="5" fillId="0" borderId="22" xfId="55" applyNumberFormat="1" applyFont="1" applyBorder="1" applyAlignment="1">
      <alignment horizontal="center"/>
    </xf>
    <xf numFmtId="0" fontId="18" fillId="0" borderId="0" xfId="0" applyFont="1" applyAlignment="1">
      <alignment wrapText="1"/>
    </xf>
    <xf numFmtId="166" fontId="18" fillId="0" borderId="0" xfId="55" applyNumberFormat="1" applyFont="1" applyAlignment="1">
      <alignment horizontal="right" wrapText="1"/>
    </xf>
    <xf numFmtId="0" fontId="18" fillId="0" borderId="0" xfId="0" applyFont="1" applyAlignment="1">
      <alignment horizontal="left" wrapText="1"/>
    </xf>
    <xf numFmtId="166" fontId="18" fillId="0" borderId="0" xfId="55" applyNumberFormat="1" applyFont="1" applyBorder="1" applyAlignment="1">
      <alignment horizontal="right" wrapText="1"/>
    </xf>
    <xf numFmtId="166" fontId="5" fillId="0" borderId="14" xfId="0" applyNumberFormat="1" applyFont="1" applyBorder="1"/>
    <xf numFmtId="0" fontId="19" fillId="0" borderId="0" xfId="0" applyFont="1" applyAlignment="1">
      <alignment wrapText="1"/>
    </xf>
    <xf numFmtId="166" fontId="0" fillId="0" borderId="0" xfId="0" applyNumberFormat="1"/>
    <xf numFmtId="166" fontId="5" fillId="0" borderId="21" xfId="0" applyNumberFormat="1" applyFont="1" applyBorder="1"/>
    <xf numFmtId="166" fontId="5" fillId="0" borderId="14" xfId="55" applyNumberFormat="1" applyFont="1" applyBorder="1"/>
    <xf numFmtId="166" fontId="18" fillId="0" borderId="0" xfId="55" applyNumberFormat="1" applyFont="1" applyFill="1" applyBorder="1" applyAlignment="1">
      <alignment horizontal="right" wrapText="1"/>
    </xf>
    <xf numFmtId="166" fontId="0" fillId="0" borderId="0" xfId="0" applyNumberFormat="1" applyFill="1"/>
    <xf numFmtId="166" fontId="5" fillId="0" borderId="0" xfId="0" applyNumberFormat="1" applyFont="1" applyBorder="1"/>
    <xf numFmtId="0" fontId="0" fillId="0" borderId="0" xfId="0" applyBorder="1"/>
    <xf numFmtId="166" fontId="5" fillId="0" borderId="21" xfId="55" applyNumberFormat="1" applyFont="1" applyBorder="1"/>
    <xf numFmtId="166" fontId="5" fillId="0" borderId="0" xfId="55" applyNumberFormat="1" applyFont="1" applyBorder="1"/>
    <xf numFmtId="0" fontId="20" fillId="0" borderId="0" xfId="0" applyFont="1" applyBorder="1" applyAlignment="1">
      <alignment wrapText="1"/>
    </xf>
    <xf numFmtId="10" fontId="20" fillId="0" borderId="0" xfId="103" applyNumberFormat="1" applyFont="1" applyBorder="1" applyAlignment="1">
      <alignment horizontal="center" wrapText="1"/>
    </xf>
    <xf numFmtId="42" fontId="20" fillId="0" borderId="0" xfId="55" applyNumberFormat="1" applyFont="1" applyBorder="1"/>
    <xf numFmtId="0" fontId="20" fillId="0" borderId="0" xfId="0" applyFont="1"/>
    <xf numFmtId="0" fontId="20" fillId="0" borderId="0" xfId="0" applyFont="1" applyBorder="1"/>
    <xf numFmtId="10" fontId="20" fillId="0" borderId="0" xfId="103" applyNumberFormat="1" applyFont="1" applyBorder="1"/>
    <xf numFmtId="0" fontId="20" fillId="0" borderId="0" xfId="0" applyFont="1" applyFill="1" applyBorder="1"/>
    <xf numFmtId="42" fontId="21" fillId="0" borderId="0" xfId="55" applyNumberFormat="1" applyFont="1" applyBorder="1"/>
    <xf numFmtId="0" fontId="22" fillId="0" borderId="0" xfId="0" applyFont="1" applyFill="1" applyBorder="1"/>
    <xf numFmtId="10" fontId="22" fillId="0" borderId="0" xfId="103" applyNumberFormat="1" applyFont="1" applyBorder="1"/>
    <xf numFmtId="42" fontId="23" fillId="0" borderId="0" xfId="55" applyNumberFormat="1" applyFont="1" applyBorder="1"/>
    <xf numFmtId="0" fontId="22" fillId="0" borderId="0" xfId="0" applyFont="1"/>
    <xf numFmtId="10" fontId="20" fillId="0" borderId="0" xfId="103" applyNumberFormat="1" applyFont="1"/>
    <xf numFmtId="10" fontId="20" fillId="0" borderId="0" xfId="103" quotePrefix="1" applyNumberFormat="1" applyFont="1"/>
    <xf numFmtId="0" fontId="78" fillId="0" borderId="0" xfId="0" applyFont="1" applyAlignment="1">
      <alignment vertical="center"/>
    </xf>
    <xf numFmtId="0" fontId="25" fillId="21" borderId="23" xfId="0" applyFont="1" applyFill="1" applyBorder="1" applyAlignment="1">
      <alignment horizontal="center" wrapText="1"/>
    </xf>
    <xf numFmtId="0" fontId="27" fillId="21" borderId="23" xfId="0" applyFont="1" applyFill="1" applyBorder="1" applyAlignment="1">
      <alignment horizontal="center" wrapText="1"/>
    </xf>
    <xf numFmtId="0" fontId="25" fillId="17" borderId="23" xfId="0" applyFont="1" applyFill="1" applyBorder="1" applyAlignment="1">
      <alignment horizontal="left" wrapText="1"/>
    </xf>
    <xf numFmtId="0" fontId="25" fillId="17" borderId="23" xfId="0" applyFont="1" applyFill="1" applyBorder="1" applyAlignment="1">
      <alignment horizontal="center" wrapText="1"/>
    </xf>
    <xf numFmtId="42" fontId="22" fillId="0" borderId="0" xfId="55" applyNumberFormat="1" applyFont="1" applyBorder="1"/>
    <xf numFmtId="0" fontId="81" fillId="0" borderId="0" xfId="0" applyFont="1"/>
    <xf numFmtId="7" fontId="81" fillId="0" borderId="0" xfId="62" applyNumberFormat="1" applyFont="1"/>
    <xf numFmtId="7" fontId="81" fillId="0" borderId="12" xfId="62" applyNumberFormat="1" applyFont="1" applyBorder="1"/>
    <xf numFmtId="7" fontId="82" fillId="0" borderId="0" xfId="0" applyNumberFormat="1" applyFont="1"/>
    <xf numFmtId="41" fontId="24" fillId="0" borderId="11" xfId="0" applyNumberFormat="1" applyFont="1" applyFill="1" applyBorder="1" applyAlignment="1" applyProtection="1">
      <alignment horizontal="right"/>
      <protection locked="0"/>
    </xf>
    <xf numFmtId="41" fontId="24" fillId="0" borderId="11" xfId="0" applyNumberFormat="1" applyFont="1" applyFill="1" applyBorder="1" applyProtection="1">
      <protection locked="0"/>
    </xf>
    <xf numFmtId="0" fontId="84" fillId="0" borderId="0" xfId="0" applyFont="1"/>
    <xf numFmtId="7" fontId="84" fillId="0" borderId="0" xfId="62" applyNumberFormat="1" applyFont="1" applyBorder="1" applyAlignment="1">
      <alignment horizontal="center"/>
    </xf>
    <xf numFmtId="43" fontId="0" fillId="0" borderId="0" xfId="0" applyNumberFormat="1"/>
    <xf numFmtId="0" fontId="30" fillId="0" borderId="0" xfId="0" applyFont="1" applyBorder="1"/>
    <xf numFmtId="0" fontId="31" fillId="0" borderId="11" xfId="0" applyFont="1" applyBorder="1" applyAlignment="1">
      <alignment horizontal="center" vertical="center" wrapText="1"/>
    </xf>
    <xf numFmtId="0" fontId="24" fillId="0" borderId="0" xfId="0" applyFont="1" applyBorder="1"/>
    <xf numFmtId="0" fontId="24" fillId="0" borderId="0" xfId="0" applyFont="1" applyBorder="1" applyAlignment="1">
      <alignment wrapText="1"/>
    </xf>
    <xf numFmtId="41" fontId="24" fillId="0" borderId="0" xfId="0" applyNumberFormat="1" applyFont="1" applyBorder="1" applyAlignment="1" applyProtection="1">
      <alignment horizontal="right"/>
      <protection locked="0"/>
    </xf>
    <xf numFmtId="164" fontId="24" fillId="0" borderId="0" xfId="0" applyNumberFormat="1" applyFont="1" applyBorder="1" applyAlignment="1" applyProtection="1">
      <alignment horizontal="right"/>
      <protection locked="0"/>
    </xf>
    <xf numFmtId="41" fontId="24" fillId="0" borderId="0" xfId="0" applyNumberFormat="1" applyFont="1" applyBorder="1" applyProtection="1">
      <protection locked="0"/>
    </xf>
    <xf numFmtId="4" fontId="24" fillId="0" borderId="0" xfId="0" applyNumberFormat="1" applyFont="1" applyBorder="1" applyAlignment="1">
      <alignment horizontal="right"/>
    </xf>
    <xf numFmtId="4" fontId="24" fillId="0" borderId="0" xfId="0" applyNumberFormat="1" applyFont="1" applyBorder="1"/>
    <xf numFmtId="164" fontId="24" fillId="0" borderId="0" xfId="0" applyNumberFormat="1" applyFont="1" applyBorder="1" applyAlignment="1">
      <alignment horizontal="right"/>
    </xf>
    <xf numFmtId="164" fontId="24" fillId="0" borderId="0" xfId="0" applyNumberFormat="1" applyFont="1" applyBorder="1"/>
    <xf numFmtId="0" fontId="30" fillId="0" borderId="0" xfId="0" applyFont="1" applyBorder="1" applyAlignment="1">
      <alignment wrapText="1"/>
    </xf>
    <xf numFmtId="164" fontId="30" fillId="0" borderId="0" xfId="0" applyNumberFormat="1" applyFont="1" applyBorder="1" applyAlignment="1">
      <alignment horizontal="right"/>
    </xf>
    <xf numFmtId="164" fontId="30" fillId="0" borderId="0" xfId="0" applyNumberFormat="1" applyFont="1" applyBorder="1"/>
    <xf numFmtId="0" fontId="30" fillId="0" borderId="0" xfId="0" applyFont="1" applyBorder="1" applyAlignment="1">
      <alignment horizontal="left" wrapText="1"/>
    </xf>
    <xf numFmtId="41" fontId="32" fillId="0" borderId="13" xfId="0" applyNumberFormat="1" applyFont="1" applyFill="1" applyBorder="1" applyAlignment="1" applyProtection="1">
      <alignment horizontal="right"/>
    </xf>
    <xf numFmtId="41" fontId="32" fillId="0" borderId="20" xfId="0" applyNumberFormat="1" applyFont="1" applyFill="1" applyBorder="1" applyAlignment="1" applyProtection="1">
      <alignment horizontal="right"/>
    </xf>
    <xf numFmtId="41" fontId="24" fillId="0" borderId="13" xfId="0" applyNumberFormat="1" applyFont="1" applyFill="1" applyBorder="1" applyAlignment="1" applyProtection="1">
      <alignment horizontal="right"/>
    </xf>
    <xf numFmtId="41" fontId="24" fillId="0" borderId="20" xfId="0" applyNumberFormat="1" applyFont="1" applyFill="1" applyBorder="1" applyAlignment="1" applyProtection="1">
      <alignment horizontal="right"/>
    </xf>
    <xf numFmtId="41" fontId="24" fillId="57" borderId="13" xfId="0" applyNumberFormat="1" applyFont="1" applyFill="1" applyBorder="1" applyAlignment="1" applyProtection="1">
      <alignment horizontal="right"/>
      <protection locked="0"/>
    </xf>
    <xf numFmtId="41" fontId="24" fillId="57" borderId="20" xfId="0" applyNumberFormat="1" applyFont="1" applyFill="1" applyBorder="1" applyAlignment="1" applyProtection="1">
      <alignment horizontal="right"/>
      <protection locked="0"/>
    </xf>
    <xf numFmtId="41" fontId="24" fillId="58" borderId="13" xfId="0" applyNumberFormat="1" applyFont="1" applyFill="1" applyBorder="1" applyAlignment="1" applyProtection="1">
      <alignment horizontal="right"/>
      <protection locked="0"/>
    </xf>
    <xf numFmtId="41" fontId="24" fillId="58" borderId="13" xfId="0" applyNumberFormat="1" applyFont="1" applyFill="1" applyBorder="1" applyProtection="1">
      <protection locked="0"/>
    </xf>
    <xf numFmtId="0" fontId="20" fillId="0" borderId="0" xfId="0" applyFont="1" applyBorder="1" applyAlignment="1">
      <alignment horizontal="left" wrapText="1"/>
    </xf>
    <xf numFmtId="44" fontId="20" fillId="0" borderId="0" xfId="0" applyNumberFormat="1" applyFont="1"/>
    <xf numFmtId="0" fontId="28" fillId="16" borderId="23" xfId="95" applyFont="1" applyFill="1" applyBorder="1" applyAlignment="1">
      <alignment horizontal="left" wrapText="1"/>
    </xf>
    <xf numFmtId="0" fontId="5" fillId="16" borderId="23" xfId="95" applyFont="1" applyFill="1" applyBorder="1" applyAlignment="1">
      <alignment horizontal="center" wrapText="1"/>
    </xf>
    <xf numFmtId="0" fontId="28" fillId="16" borderId="23" xfId="95" applyFont="1" applyFill="1" applyBorder="1" applyAlignment="1">
      <alignment horizontal="center" wrapText="1"/>
    </xf>
    <xf numFmtId="44" fontId="22" fillId="0" borderId="0" xfId="55" applyNumberFormat="1" applyFont="1" applyBorder="1"/>
    <xf numFmtId="16" fontId="1" fillId="0" borderId="0" xfId="0" quotePrefix="1" applyNumberFormat="1" applyFont="1"/>
    <xf numFmtId="0" fontId="0" fillId="0" borderId="0" xfId="0" applyFill="1"/>
    <xf numFmtId="0" fontId="1" fillId="0" borderId="0" xfId="0" applyFont="1" applyFill="1"/>
    <xf numFmtId="0" fontId="55" fillId="0" borderId="0" xfId="98" applyNumberFormat="1" applyFont="1" applyAlignment="1">
      <alignment horizontal="left" vertical="top" wrapText="1"/>
    </xf>
    <xf numFmtId="0" fontId="71" fillId="0" borderId="0" xfId="98"/>
    <xf numFmtId="0" fontId="25" fillId="0" borderId="50" xfId="98" applyNumberFormat="1" applyFont="1" applyBorder="1" applyAlignment="1">
      <alignment horizontal="center" vertical="center" wrapText="1"/>
    </xf>
    <xf numFmtId="0" fontId="25" fillId="0" borderId="0" xfId="98" applyNumberFormat="1" applyFont="1" applyAlignment="1">
      <alignment horizontal="center" vertical="center" wrapText="1"/>
    </xf>
    <xf numFmtId="0" fontId="25" fillId="0" borderId="0" xfId="98" applyNumberFormat="1" applyFont="1" applyAlignment="1">
      <alignment horizontal="left" vertical="top" wrapText="1"/>
    </xf>
    <xf numFmtId="174" fontId="25" fillId="0" borderId="0" xfId="98" applyNumberFormat="1" applyFont="1" applyAlignment="1">
      <alignment horizontal="center" vertical="center" wrapText="1"/>
    </xf>
    <xf numFmtId="0" fontId="25" fillId="0" borderId="0" xfId="98" applyNumberFormat="1" applyFont="1" applyAlignment="1">
      <alignment horizontal="left" vertical="center" wrapText="1"/>
    </xf>
    <xf numFmtId="0" fontId="25" fillId="0" borderId="0" xfId="98" applyNumberFormat="1" applyFont="1" applyAlignment="1">
      <alignment horizontal="right" vertical="center" wrapText="1"/>
    </xf>
    <xf numFmtId="175" fontId="25" fillId="0" borderId="0" xfId="98" applyNumberFormat="1" applyFont="1" applyAlignment="1">
      <alignment horizontal="right" vertical="center" wrapText="1"/>
    </xf>
    <xf numFmtId="0" fontId="2" fillId="0" borderId="0" xfId="0" applyFont="1" applyAlignment="1">
      <alignment wrapText="1"/>
    </xf>
    <xf numFmtId="166" fontId="18" fillId="0" borderId="12" xfId="55" applyNumberFormat="1" applyFont="1" applyBorder="1" applyAlignment="1">
      <alignment horizontal="right" wrapText="1"/>
    </xf>
    <xf numFmtId="166" fontId="19" fillId="0" borderId="0" xfId="55" applyNumberFormat="1" applyFont="1" applyAlignment="1">
      <alignment horizontal="right" wrapText="1"/>
    </xf>
    <xf numFmtId="0" fontId="1" fillId="0" borderId="0" xfId="0" applyFont="1"/>
    <xf numFmtId="10" fontId="20" fillId="0" borderId="0" xfId="103" applyNumberFormat="1" applyFont="1" applyFill="1" applyBorder="1"/>
    <xf numFmtId="166" fontId="18" fillId="0" borderId="0" xfId="55" applyNumberFormat="1" applyFont="1" applyFill="1" applyAlignment="1">
      <alignment horizontal="right" wrapText="1"/>
    </xf>
    <xf numFmtId="0" fontId="95" fillId="0" borderId="0" xfId="0" applyFont="1"/>
    <xf numFmtId="0" fontId="1" fillId="0" borderId="49" xfId="0" applyFont="1" applyFill="1" applyBorder="1" applyAlignment="1">
      <alignment horizontal="left" vertical="top" wrapText="1"/>
    </xf>
    <xf numFmtId="0" fontId="1" fillId="0" borderId="49" xfId="0" applyFont="1" applyFill="1" applyBorder="1" applyAlignment="1">
      <alignment horizontal="center" vertical="top" wrapText="1"/>
    </xf>
    <xf numFmtId="165" fontId="92" fillId="0" borderId="49" xfId="0" applyNumberFormat="1" applyFont="1" applyFill="1" applyBorder="1" applyAlignment="1">
      <alignment horizontal="left" vertical="top" wrapText="1"/>
    </xf>
    <xf numFmtId="0" fontId="97" fillId="0" borderId="0" xfId="0" applyFont="1" applyAlignment="1"/>
    <xf numFmtId="166" fontId="98" fillId="0" borderId="0" xfId="0" applyNumberFormat="1" applyFont="1" applyAlignment="1"/>
    <xf numFmtId="166" fontId="1" fillId="0" borderId="0" xfId="0" applyNumberFormat="1" applyFont="1"/>
    <xf numFmtId="0" fontId="0" fillId="0" borderId="0" xfId="0" applyFill="1" applyBorder="1" applyAlignment="1">
      <alignment horizontal="left" vertical="top"/>
    </xf>
    <xf numFmtId="0" fontId="31" fillId="0" borderId="49" xfId="0" applyFont="1" applyFill="1" applyBorder="1" applyAlignment="1">
      <alignment horizontal="left" vertical="top" wrapText="1"/>
    </xf>
    <xf numFmtId="0" fontId="31" fillId="0" borderId="49" xfId="0" applyFont="1" applyFill="1" applyBorder="1" applyAlignment="1">
      <alignment horizontal="center" vertical="top" wrapText="1"/>
    </xf>
    <xf numFmtId="0" fontId="30" fillId="0" borderId="49" xfId="0" applyFont="1" applyFill="1" applyBorder="1" applyAlignment="1">
      <alignment horizontal="left" vertical="top" wrapText="1"/>
    </xf>
    <xf numFmtId="0" fontId="0" fillId="0" borderId="49" xfId="0" applyFill="1" applyBorder="1" applyAlignment="1">
      <alignment horizontal="left" vertical="top" wrapText="1"/>
    </xf>
    <xf numFmtId="0" fontId="1" fillId="53" borderId="0" xfId="0" applyFont="1" applyFill="1"/>
    <xf numFmtId="0" fontId="5" fillId="53" borderId="0" xfId="0" applyFont="1" applyFill="1" applyAlignment="1"/>
    <xf numFmtId="0" fontId="96" fillId="0" borderId="0" xfId="0" applyFont="1" applyAlignment="1"/>
    <xf numFmtId="0" fontId="1" fillId="0" borderId="0" xfId="0" applyFont="1" applyAlignment="1">
      <alignment horizontal="right"/>
    </xf>
    <xf numFmtId="166" fontId="18" fillId="62" borderId="0" xfId="55" applyNumberFormat="1" applyFont="1" applyFill="1" applyAlignment="1">
      <alignment horizontal="right" wrapText="1"/>
    </xf>
    <xf numFmtId="0" fontId="18" fillId="62" borderId="0" xfId="0" applyFont="1" applyFill="1" applyAlignment="1">
      <alignment wrapText="1"/>
    </xf>
    <xf numFmtId="0" fontId="1" fillId="0" borderId="0" xfId="0" applyFont="1" applyAlignment="1">
      <alignment horizontal="left"/>
    </xf>
    <xf numFmtId="42" fontId="20" fillId="63" borderId="0" xfId="55" applyNumberFormat="1" applyFont="1" applyFill="1" applyBorder="1"/>
    <xf numFmtId="44" fontId="20" fillId="63" borderId="0" xfId="62" applyFont="1" applyFill="1"/>
    <xf numFmtId="0" fontId="96" fillId="0" borderId="0" xfId="0" applyFont="1" applyFill="1" applyAlignment="1">
      <alignment vertical="center"/>
    </xf>
    <xf numFmtId="44" fontId="20" fillId="63" borderId="0" xfId="62" applyFont="1" applyFill="1" applyBorder="1"/>
    <xf numFmtId="0" fontId="20" fillId="0" borderId="0" xfId="0" applyFont="1" applyAlignment="1">
      <alignment horizontal="left"/>
    </xf>
    <xf numFmtId="0" fontId="5" fillId="64" borderId="0" xfId="0" applyFont="1" applyFill="1"/>
    <xf numFmtId="0" fontId="5" fillId="0" borderId="0" xfId="0" applyFont="1" applyFill="1"/>
    <xf numFmtId="0" fontId="101" fillId="68" borderId="0" xfId="0" applyFont="1" applyFill="1"/>
    <xf numFmtId="166" fontId="25" fillId="0" borderId="50" xfId="111" applyNumberFormat="1" applyFont="1" applyBorder="1" applyAlignment="1">
      <alignment horizontal="center" vertical="center" wrapText="1"/>
    </xf>
    <xf numFmtId="166" fontId="25" fillId="0" borderId="0" xfId="111" applyNumberFormat="1" applyFont="1" applyAlignment="1">
      <alignment horizontal="right" vertical="center" wrapText="1"/>
    </xf>
    <xf numFmtId="0" fontId="25" fillId="66" borderId="0" xfId="98" applyNumberFormat="1" applyFont="1" applyFill="1" applyAlignment="1">
      <alignment horizontal="left" vertical="top" wrapText="1"/>
    </xf>
    <xf numFmtId="174" fontId="25" fillId="66" borderId="0" xfId="98" applyNumberFormat="1" applyFont="1" applyFill="1" applyAlignment="1">
      <alignment horizontal="center" vertical="center" wrapText="1"/>
    </xf>
    <xf numFmtId="0" fontId="25" fillId="66" borderId="0" xfId="98" applyNumberFormat="1" applyFont="1" applyFill="1" applyAlignment="1">
      <alignment horizontal="left" vertical="center" wrapText="1"/>
    </xf>
    <xf numFmtId="0" fontId="25" fillId="66" borderId="0" xfId="98" applyNumberFormat="1" applyFont="1" applyFill="1" applyAlignment="1">
      <alignment horizontal="center" vertical="center" wrapText="1"/>
    </xf>
    <xf numFmtId="0" fontId="25" fillId="66" borderId="0" xfId="98" applyNumberFormat="1" applyFont="1" applyFill="1" applyAlignment="1">
      <alignment horizontal="right" vertical="center" wrapText="1"/>
    </xf>
    <xf numFmtId="166" fontId="25" fillId="66" borderId="0" xfId="111" applyNumberFormat="1" applyFont="1" applyFill="1" applyAlignment="1">
      <alignment horizontal="right" vertical="center" wrapText="1"/>
    </xf>
    <xf numFmtId="0" fontId="71" fillId="0" borderId="0" xfId="98" applyAlignment="1">
      <alignment horizontal="center"/>
    </xf>
    <xf numFmtId="0" fontId="28" fillId="65" borderId="0" xfId="98" applyNumberFormat="1" applyFont="1" applyFill="1" applyAlignment="1">
      <alignment horizontal="left" vertical="top" wrapText="1"/>
    </xf>
    <xf numFmtId="174" fontId="28" fillId="65" borderId="0" xfId="98" applyNumberFormat="1" applyFont="1" applyFill="1" applyAlignment="1">
      <alignment horizontal="center" vertical="center" wrapText="1"/>
    </xf>
    <xf numFmtId="0" fontId="28" fillId="65" borderId="0" xfId="98" applyNumberFormat="1" applyFont="1" applyFill="1" applyAlignment="1">
      <alignment horizontal="left" vertical="center" wrapText="1"/>
    </xf>
    <xf numFmtId="0" fontId="28" fillId="65" borderId="0" xfId="98" applyNumberFormat="1" applyFont="1" applyFill="1" applyAlignment="1">
      <alignment horizontal="center" vertical="center" wrapText="1"/>
    </xf>
    <xf numFmtId="0" fontId="28" fillId="65" borderId="0" xfId="98" applyNumberFormat="1" applyFont="1" applyFill="1" applyAlignment="1">
      <alignment horizontal="right" vertical="center" wrapText="1"/>
    </xf>
    <xf numFmtId="166" fontId="28" fillId="65" borderId="0" xfId="111" applyNumberFormat="1" applyFont="1" applyFill="1" applyAlignment="1">
      <alignment horizontal="right" vertical="center" wrapText="1"/>
    </xf>
    <xf numFmtId="175" fontId="28" fillId="65" borderId="0" xfId="98" applyNumberFormat="1" applyFont="1" applyFill="1" applyAlignment="1">
      <alignment horizontal="right" vertical="center" wrapText="1"/>
    </xf>
    <xf numFmtId="0" fontId="28" fillId="67" borderId="0" xfId="98" applyNumberFormat="1" applyFont="1" applyFill="1" applyAlignment="1">
      <alignment horizontal="left" vertical="top" wrapText="1"/>
    </xf>
    <xf numFmtId="174" fontId="28" fillId="67" borderId="0" xfId="98" applyNumberFormat="1" applyFont="1" applyFill="1" applyAlignment="1">
      <alignment horizontal="center" vertical="center" wrapText="1"/>
    </xf>
    <xf numFmtId="0" fontId="28" fillId="67" borderId="0" xfId="98" applyNumberFormat="1" applyFont="1" applyFill="1" applyAlignment="1">
      <alignment horizontal="left" vertical="center" wrapText="1"/>
    </xf>
    <xf numFmtId="0" fontId="28" fillId="67" borderId="0" xfId="98" applyNumberFormat="1" applyFont="1" applyFill="1" applyAlignment="1">
      <alignment horizontal="center" vertical="center" wrapText="1"/>
    </xf>
    <xf numFmtId="0" fontId="28" fillId="67" borderId="0" xfId="98" applyNumberFormat="1" applyFont="1" applyFill="1" applyAlignment="1">
      <alignment horizontal="right" vertical="center" wrapText="1"/>
    </xf>
    <xf numFmtId="166" fontId="28" fillId="67" borderId="0" xfId="111" applyNumberFormat="1" applyFont="1" applyFill="1" applyAlignment="1">
      <alignment horizontal="right" vertical="center" wrapText="1"/>
    </xf>
    <xf numFmtId="175" fontId="28" fillId="67" borderId="0" xfId="98" applyNumberFormat="1" applyFont="1" applyFill="1" applyAlignment="1">
      <alignment horizontal="right" vertical="center" wrapText="1"/>
    </xf>
    <xf numFmtId="0" fontId="102" fillId="67" borderId="0" xfId="98" applyFont="1" applyFill="1"/>
    <xf numFmtId="0" fontId="102" fillId="67" borderId="0" xfId="98" applyFont="1" applyFill="1" applyAlignment="1">
      <alignment horizontal="center"/>
    </xf>
    <xf numFmtId="0" fontId="28" fillId="61" borderId="0" xfId="98" applyNumberFormat="1" applyFont="1" applyFill="1" applyAlignment="1">
      <alignment horizontal="left" vertical="top" wrapText="1"/>
    </xf>
    <xf numFmtId="174" fontId="28" fillId="61" borderId="0" xfId="98" applyNumberFormat="1" applyFont="1" applyFill="1" applyAlignment="1">
      <alignment horizontal="center" vertical="center" wrapText="1"/>
    </xf>
    <xf numFmtId="0" fontId="28" fillId="61" borderId="0" xfId="98" applyNumberFormat="1" applyFont="1" applyFill="1" applyAlignment="1">
      <alignment horizontal="left" vertical="center" wrapText="1"/>
    </xf>
    <xf numFmtId="0" fontId="28" fillId="61" borderId="0" xfId="98" applyNumberFormat="1" applyFont="1" applyFill="1" applyAlignment="1">
      <alignment horizontal="center" vertical="center" wrapText="1"/>
    </xf>
    <xf numFmtId="0" fontId="28" fillId="61" borderId="0" xfId="98" applyNumberFormat="1" applyFont="1" applyFill="1" applyAlignment="1">
      <alignment horizontal="right" vertical="center" wrapText="1"/>
    </xf>
    <xf numFmtId="166" fontId="28" fillId="61" borderId="0" xfId="111" applyNumberFormat="1" applyFont="1" applyFill="1" applyAlignment="1">
      <alignment horizontal="right" vertical="center" wrapText="1"/>
    </xf>
    <xf numFmtId="0" fontId="28" fillId="66" borderId="0" xfId="98" applyNumberFormat="1" applyFont="1" applyFill="1" applyAlignment="1">
      <alignment horizontal="left" vertical="top" wrapText="1"/>
    </xf>
    <xf numFmtId="174" fontId="28" fillId="66" borderId="0" xfId="98" applyNumberFormat="1" applyFont="1" applyFill="1" applyAlignment="1">
      <alignment horizontal="center" vertical="center" wrapText="1"/>
    </xf>
    <xf numFmtId="0" fontId="28" fillId="66" borderId="0" xfId="98" applyNumberFormat="1" applyFont="1" applyFill="1" applyAlignment="1">
      <alignment horizontal="left" vertical="center" wrapText="1"/>
    </xf>
    <xf numFmtId="0" fontId="28" fillId="66" borderId="0" xfId="98" applyNumberFormat="1" applyFont="1" applyFill="1" applyAlignment="1">
      <alignment horizontal="center" vertical="center" wrapText="1"/>
    </xf>
    <xf numFmtId="0" fontId="28" fillId="66" borderId="0" xfId="98" applyNumberFormat="1" applyFont="1" applyFill="1" applyAlignment="1">
      <alignment horizontal="right" vertical="center" wrapText="1"/>
    </xf>
    <xf numFmtId="166" fontId="28" fillId="66" borderId="0" xfId="111" applyNumberFormat="1" applyFont="1" applyFill="1" applyAlignment="1">
      <alignment horizontal="right" vertical="center" wrapText="1"/>
    </xf>
    <xf numFmtId="0" fontId="28" fillId="0" borderId="0" xfId="98" applyNumberFormat="1" applyFont="1" applyAlignment="1">
      <alignment horizontal="left" vertical="top" wrapText="1"/>
    </xf>
    <xf numFmtId="166" fontId="0" fillId="0" borderId="0" xfId="111" applyNumberFormat="1" applyFont="1"/>
    <xf numFmtId="0" fontId="5" fillId="0" borderId="36" xfId="0" applyFont="1" applyBorder="1" applyAlignment="1"/>
    <xf numFmtId="0" fontId="5" fillId="0" borderId="36" xfId="0" applyFont="1" applyBorder="1" applyAlignment="1">
      <alignment horizontal="left"/>
    </xf>
    <xf numFmtId="0" fontId="17" fillId="0" borderId="0" xfId="0" applyFont="1" applyAlignment="1">
      <alignment horizontal="left"/>
    </xf>
    <xf numFmtId="0" fontId="2" fillId="0" borderId="0" xfId="0" applyFont="1"/>
    <xf numFmtId="166" fontId="2" fillId="0" borderId="0" xfId="0" applyNumberFormat="1" applyFont="1" applyAlignment="1"/>
    <xf numFmtId="0" fontId="24" fillId="0" borderId="0" xfId="112"/>
    <xf numFmtId="43" fontId="0" fillId="0" borderId="0" xfId="113" applyFont="1"/>
    <xf numFmtId="43" fontId="103" fillId="0" borderId="49" xfId="113" applyFont="1" applyBorder="1" applyAlignment="1">
      <alignment wrapText="1"/>
    </xf>
    <xf numFmtId="49" fontId="103" fillId="0" borderId="49" xfId="112" applyNumberFormat="1" applyFont="1" applyBorder="1" applyAlignment="1">
      <alignment wrapText="1"/>
    </xf>
    <xf numFmtId="176" fontId="103" fillId="0" borderId="49" xfId="112" applyNumberFormat="1" applyFont="1" applyBorder="1" applyAlignment="1">
      <alignment wrapText="1"/>
    </xf>
    <xf numFmtId="177" fontId="103" fillId="0" borderId="49" xfId="112" applyNumberFormat="1" applyFont="1" applyBorder="1" applyAlignment="1">
      <alignment wrapText="1"/>
    </xf>
    <xf numFmtId="178" fontId="103" fillId="0" borderId="49" xfId="112" applyNumberFormat="1" applyFont="1" applyBorder="1" applyAlignment="1">
      <alignment wrapText="1"/>
    </xf>
    <xf numFmtId="43" fontId="104" fillId="69" borderId="49" xfId="113" applyFont="1" applyFill="1" applyBorder="1" applyAlignment="1">
      <alignment wrapText="1"/>
    </xf>
    <xf numFmtId="49" fontId="104" fillId="69" borderId="49" xfId="112" applyNumberFormat="1" applyFont="1" applyFill="1" applyBorder="1" applyAlignment="1">
      <alignment wrapText="1"/>
    </xf>
    <xf numFmtId="43" fontId="32" fillId="0" borderId="0" xfId="113" applyFont="1"/>
    <xf numFmtId="0" fontId="32" fillId="0" borderId="0" xfId="112" applyFont="1" applyAlignment="1">
      <alignment horizontal="right"/>
    </xf>
    <xf numFmtId="49" fontId="103" fillId="0" borderId="0" xfId="112" applyNumberFormat="1" applyFont="1" applyAlignment="1"/>
    <xf numFmtId="49" fontId="104" fillId="0" borderId="0" xfId="112" applyNumberFormat="1" applyFont="1" applyAlignment="1"/>
    <xf numFmtId="49" fontId="105" fillId="0" borderId="0" xfId="112" applyNumberFormat="1" applyFont="1" applyAlignment="1"/>
    <xf numFmtId="0" fontId="103" fillId="0" borderId="49" xfId="112" applyNumberFormat="1" applyFont="1" applyBorder="1" applyAlignment="1">
      <alignment wrapText="1"/>
    </xf>
    <xf numFmtId="0" fontId="107" fillId="0" borderId="0" xfId="0" applyFont="1" applyAlignment="1">
      <alignment vertical="center"/>
    </xf>
    <xf numFmtId="0" fontId="107" fillId="0" borderId="0" xfId="0" applyFont="1" applyAlignment="1">
      <alignment horizontal="left" vertical="center" indent="4"/>
    </xf>
    <xf numFmtId="43" fontId="9" fillId="19" borderId="0" xfId="55" applyFont="1" applyFill="1" applyBorder="1"/>
    <xf numFmtId="166" fontId="9" fillId="0" borderId="16" xfId="0" applyNumberFormat="1" applyFont="1" applyFill="1" applyBorder="1"/>
    <xf numFmtId="166" fontId="9" fillId="0" borderId="16" xfId="55" applyNumberFormat="1" applyFont="1" applyFill="1" applyBorder="1"/>
    <xf numFmtId="0" fontId="99" fillId="0" borderId="0" xfId="0" applyFont="1" applyBorder="1" applyAlignment="1"/>
    <xf numFmtId="0" fontId="83" fillId="0" borderId="0" xfId="0" applyFont="1" applyBorder="1" applyAlignment="1" applyProtection="1">
      <alignment horizontal="right"/>
      <protection locked="0"/>
    </xf>
    <xf numFmtId="0" fontId="81" fillId="0" borderId="0" xfId="0" applyFont="1" applyProtection="1">
      <protection locked="0"/>
    </xf>
    <xf numFmtId="0" fontId="83" fillId="0" borderId="0" xfId="0" applyFont="1" applyAlignment="1" applyProtection="1">
      <alignment horizontal="right"/>
      <protection locked="0"/>
    </xf>
    <xf numFmtId="7" fontId="84" fillId="0" borderId="0" xfId="62" applyNumberFormat="1" applyFont="1" applyProtection="1">
      <protection locked="0"/>
    </xf>
    <xf numFmtId="0" fontId="84" fillId="0" borderId="0" xfId="0" applyFont="1" applyProtection="1">
      <protection locked="0"/>
    </xf>
    <xf numFmtId="7" fontId="84" fillId="0" borderId="12" xfId="62" applyNumberFormat="1" applyFont="1" applyBorder="1" applyAlignment="1" applyProtection="1">
      <alignment horizontal="center"/>
      <protection locked="0"/>
    </xf>
    <xf numFmtId="0" fontId="84" fillId="0" borderId="12" xfId="0" applyFont="1" applyBorder="1" applyAlignment="1" applyProtection="1">
      <alignment horizontal="center"/>
      <protection locked="0"/>
    </xf>
    <xf numFmtId="0" fontId="84" fillId="0" borderId="0" xfId="0" applyFont="1" applyBorder="1" applyAlignment="1" applyProtection="1">
      <alignment horizontal="right" wrapText="1"/>
      <protection locked="0"/>
    </xf>
    <xf numFmtId="0" fontId="84" fillId="0" borderId="0" xfId="0" applyFont="1" applyAlignment="1" applyProtection="1">
      <alignment horizontal="right"/>
      <protection locked="0"/>
    </xf>
    <xf numFmtId="41" fontId="84" fillId="0" borderId="0" xfId="62" applyNumberFormat="1" applyFont="1" applyProtection="1">
      <protection locked="0"/>
    </xf>
    <xf numFmtId="0" fontId="84" fillId="0" borderId="0" xfId="0" applyFont="1" applyBorder="1" applyAlignment="1" applyProtection="1">
      <alignment horizontal="right"/>
      <protection locked="0"/>
    </xf>
    <xf numFmtId="164" fontId="84" fillId="0" borderId="0" xfId="62" applyNumberFormat="1" applyFont="1" applyProtection="1">
      <protection locked="0"/>
    </xf>
    <xf numFmtId="164" fontId="82" fillId="0" borderId="0" xfId="62" applyNumberFormat="1" applyFont="1" applyProtection="1">
      <protection locked="0"/>
    </xf>
    <xf numFmtId="44" fontId="81" fillId="0" borderId="0" xfId="62" applyFont="1" applyProtection="1">
      <protection locked="0"/>
    </xf>
    <xf numFmtId="41" fontId="84" fillId="54" borderId="0" xfId="62" applyNumberFormat="1" applyFont="1" applyFill="1" applyProtection="1"/>
    <xf numFmtId="41" fontId="84" fillId="59" borderId="0" xfId="62" applyNumberFormat="1" applyFont="1" applyFill="1" applyProtection="1"/>
    <xf numFmtId="41" fontId="84" fillId="55" borderId="0" xfId="62" applyNumberFormat="1" applyFont="1" applyFill="1" applyProtection="1"/>
    <xf numFmtId="41" fontId="84" fillId="57" borderId="0" xfId="62" applyNumberFormat="1" applyFont="1" applyFill="1" applyProtection="1"/>
    <xf numFmtId="41" fontId="84" fillId="58" borderId="0" xfId="62" applyNumberFormat="1" applyFont="1" applyFill="1" applyProtection="1"/>
    <xf numFmtId="41" fontId="85" fillId="0" borderId="0" xfId="62" applyNumberFormat="1" applyFont="1" applyBorder="1" applyProtection="1"/>
    <xf numFmtId="0" fontId="29" fillId="0" borderId="0" xfId="0" applyFont="1" applyBorder="1" applyAlignment="1"/>
    <xf numFmtId="41" fontId="32" fillId="56" borderId="11" xfId="0" applyNumberFormat="1" applyFont="1" applyFill="1" applyBorder="1" applyAlignment="1" applyProtection="1">
      <alignment horizontal="left"/>
      <protection locked="0"/>
    </xf>
    <xf numFmtId="0" fontId="24" fillId="0" borderId="11" xfId="0" applyFont="1" applyFill="1" applyBorder="1" applyAlignment="1" applyProtection="1">
      <alignment wrapText="1"/>
      <protection locked="0"/>
    </xf>
    <xf numFmtId="0" fontId="24" fillId="0" borderId="11" xfId="0" applyFont="1" applyFill="1" applyBorder="1" applyAlignment="1" applyProtection="1">
      <alignment horizontal="right" wrapText="1"/>
      <protection locked="0"/>
    </xf>
    <xf numFmtId="0" fontId="24" fillId="0" borderId="0" xfId="0" applyFont="1" applyFill="1" applyBorder="1" applyAlignment="1" applyProtection="1">
      <alignment wrapText="1"/>
      <protection locked="0"/>
    </xf>
    <xf numFmtId="0" fontId="32" fillId="0" borderId="0" xfId="0" applyFont="1" applyFill="1" applyBorder="1" applyAlignment="1" applyProtection="1">
      <alignment wrapText="1"/>
      <protection locked="0"/>
    </xf>
    <xf numFmtId="41" fontId="32" fillId="0" borderId="0" xfId="0" applyNumberFormat="1" applyFont="1" applyFill="1" applyBorder="1" applyAlignment="1" applyProtection="1">
      <alignment horizontal="left"/>
      <protection locked="0"/>
    </xf>
    <xf numFmtId="41" fontId="24" fillId="0" borderId="0" xfId="0" applyNumberFormat="1" applyFont="1" applyFill="1" applyBorder="1" applyAlignment="1" applyProtection="1">
      <alignment horizontal="right"/>
      <protection locked="0"/>
    </xf>
    <xf numFmtId="41" fontId="32" fillId="0" borderId="13" xfId="0" applyNumberFormat="1" applyFont="1" applyFill="1" applyBorder="1" applyAlignment="1" applyProtection="1">
      <alignment horizontal="right"/>
      <protection locked="0"/>
    </xf>
    <xf numFmtId="0" fontId="29" fillId="0" borderId="24" xfId="0" applyFont="1" applyBorder="1" applyAlignment="1" applyProtection="1">
      <alignment horizontal="left" wrapText="1"/>
      <protection locked="0"/>
    </xf>
    <xf numFmtId="0" fontId="29" fillId="0" borderId="0" xfId="0" applyFont="1" applyBorder="1" applyAlignment="1" applyProtection="1">
      <alignment horizontal="left" wrapText="1"/>
      <protection locked="0"/>
    </xf>
    <xf numFmtId="0" fontId="29" fillId="0" borderId="0" xfId="0" applyFont="1" applyBorder="1" applyAlignment="1" applyProtection="1">
      <alignment horizontal="center" wrapText="1"/>
      <protection locked="0"/>
    </xf>
    <xf numFmtId="41" fontId="32" fillId="0" borderId="0" xfId="0" applyNumberFormat="1" applyFont="1" applyFill="1" applyBorder="1" applyAlignment="1" applyProtection="1">
      <alignment horizontal="right"/>
      <protection locked="0"/>
    </xf>
    <xf numFmtId="41" fontId="32" fillId="0" borderId="14" xfId="0" applyNumberFormat="1" applyFont="1" applyFill="1" applyBorder="1" applyAlignment="1" applyProtection="1">
      <alignment horizontal="right"/>
      <protection locked="0"/>
    </xf>
    <xf numFmtId="0" fontId="29" fillId="59" borderId="19" xfId="0" applyFont="1" applyFill="1" applyBorder="1" applyAlignment="1" applyProtection="1">
      <protection locked="0"/>
    </xf>
    <xf numFmtId="0" fontId="29" fillId="59" borderId="13" xfId="0" applyFont="1" applyFill="1" applyBorder="1" applyAlignment="1" applyProtection="1">
      <protection locked="0"/>
    </xf>
    <xf numFmtId="0" fontId="32" fillId="59" borderId="13" xfId="0" applyFont="1" applyFill="1" applyBorder="1" applyAlignment="1" applyProtection="1">
      <alignment horizontal="center" wrapText="1"/>
      <protection locked="0"/>
    </xf>
    <xf numFmtId="0" fontId="35" fillId="59" borderId="13" xfId="0" applyFont="1" applyFill="1" applyBorder="1" applyAlignment="1" applyProtection="1">
      <alignment wrapText="1"/>
      <protection locked="0"/>
    </xf>
    <xf numFmtId="164" fontId="32" fillId="59" borderId="11" xfId="0" applyNumberFormat="1" applyFont="1" applyFill="1" applyBorder="1" applyAlignment="1" applyProtection="1">
      <alignment horizontal="center" wrapText="1"/>
      <protection locked="0"/>
    </xf>
    <xf numFmtId="0" fontId="24" fillId="0" borderId="11" xfId="0" applyFont="1" applyBorder="1" applyProtection="1">
      <protection locked="0"/>
    </xf>
    <xf numFmtId="0" fontId="24" fillId="0" borderId="19" xfId="0" applyFont="1" applyBorder="1" applyProtection="1">
      <protection locked="0"/>
    </xf>
    <xf numFmtId="0" fontId="29" fillId="0" borderId="14" xfId="0" applyFont="1" applyBorder="1" applyAlignment="1" applyProtection="1">
      <alignment horizontal="left" wrapText="1"/>
      <protection locked="0"/>
    </xf>
    <xf numFmtId="0" fontId="29" fillId="0" borderId="14" xfId="0" applyFont="1" applyBorder="1" applyAlignment="1" applyProtection="1">
      <alignment horizontal="center"/>
      <protection locked="0"/>
    </xf>
    <xf numFmtId="0" fontId="29" fillId="0" borderId="12" xfId="0" applyFont="1" applyBorder="1" applyAlignment="1" applyProtection="1">
      <alignment horizontal="center"/>
      <protection locked="0"/>
    </xf>
    <xf numFmtId="41" fontId="32" fillId="0" borderId="12" xfId="0" applyNumberFormat="1" applyFont="1" applyFill="1" applyBorder="1" applyAlignment="1" applyProtection="1">
      <alignment horizontal="right"/>
      <protection locked="0"/>
    </xf>
    <xf numFmtId="0" fontId="29" fillId="60" borderId="11" xfId="0" applyFont="1" applyFill="1" applyBorder="1" applyAlignment="1" applyProtection="1">
      <protection locked="0"/>
    </xf>
    <xf numFmtId="0" fontId="32" fillId="60" borderId="11" xfId="0" applyFont="1" applyFill="1" applyBorder="1" applyAlignment="1" applyProtection="1">
      <alignment horizontal="center" wrapText="1"/>
      <protection locked="0"/>
    </xf>
    <xf numFmtId="164" fontId="32" fillId="60" borderId="11" xfId="0" applyNumberFormat="1" applyFont="1" applyFill="1" applyBorder="1" applyAlignment="1" applyProtection="1">
      <alignment horizontal="center" wrapText="1"/>
      <protection locked="0"/>
    </xf>
    <xf numFmtId="0" fontId="24" fillId="0" borderId="0" xfId="0" applyFont="1" applyBorder="1" applyProtection="1">
      <protection locked="0"/>
    </xf>
    <xf numFmtId="0" fontId="24" fillId="0" borderId="11" xfId="0" applyFont="1" applyBorder="1" applyAlignment="1" applyProtection="1">
      <alignment wrapText="1"/>
      <protection locked="0"/>
    </xf>
    <xf numFmtId="41" fontId="32" fillId="0" borderId="11" xfId="0" applyNumberFormat="1" applyFont="1" applyFill="1" applyBorder="1" applyAlignment="1" applyProtection="1">
      <alignment horizontal="left"/>
      <protection locked="0"/>
    </xf>
    <xf numFmtId="0" fontId="24" fillId="0" borderId="24" xfId="0" applyFont="1" applyBorder="1" applyAlignment="1" applyProtection="1">
      <alignment wrapText="1"/>
      <protection locked="0"/>
    </xf>
    <xf numFmtId="0" fontId="24" fillId="0" borderId="0" xfId="0" applyFont="1" applyBorder="1" applyAlignment="1" applyProtection="1">
      <alignment wrapText="1"/>
      <protection locked="0"/>
    </xf>
    <xf numFmtId="41" fontId="24" fillId="0" borderId="0" xfId="0" applyNumberFormat="1" applyFont="1" applyFill="1" applyBorder="1" applyProtection="1">
      <protection locked="0"/>
    </xf>
    <xf numFmtId="0" fontId="29" fillId="57" borderId="19" xfId="0" applyFont="1" applyFill="1" applyBorder="1" applyAlignment="1" applyProtection="1">
      <protection locked="0"/>
    </xf>
    <xf numFmtId="0" fontId="29" fillId="57" borderId="13" xfId="0" applyFont="1" applyFill="1" applyBorder="1" applyAlignment="1" applyProtection="1">
      <protection locked="0"/>
    </xf>
    <xf numFmtId="0" fontId="32" fillId="57" borderId="13" xfId="0" applyFont="1" applyFill="1" applyBorder="1" applyAlignment="1" applyProtection="1">
      <alignment horizontal="center" wrapText="1"/>
      <protection locked="0"/>
    </xf>
    <xf numFmtId="164" fontId="32" fillId="58" borderId="11" xfId="0" applyNumberFormat="1" applyFont="1" applyFill="1" applyBorder="1" applyAlignment="1" applyProtection="1">
      <alignment horizontal="center" wrapText="1"/>
      <protection locked="0"/>
    </xf>
    <xf numFmtId="41" fontId="24" fillId="58" borderId="20" xfId="0" applyNumberFormat="1" applyFont="1" applyFill="1" applyBorder="1" applyProtection="1">
      <protection locked="0"/>
    </xf>
    <xf numFmtId="0" fontId="24" fillId="0" borderId="24" xfId="0" applyFont="1" applyBorder="1" applyProtection="1">
      <protection locked="0"/>
    </xf>
    <xf numFmtId="41" fontId="24" fillId="0" borderId="11" xfId="0" applyNumberFormat="1" applyFont="1" applyFill="1" applyBorder="1" applyAlignment="1" applyProtection="1">
      <alignment horizontal="right"/>
    </xf>
    <xf numFmtId="44" fontId="32" fillId="0" borderId="11" xfId="0" applyNumberFormat="1" applyFont="1" applyFill="1" applyBorder="1" applyAlignment="1" applyProtection="1">
      <alignment horizontal="left"/>
    </xf>
    <xf numFmtId="41" fontId="24" fillId="0" borderId="11" xfId="0" applyNumberFormat="1" applyFont="1" applyBorder="1" applyAlignment="1" applyProtection="1">
      <alignment horizontal="right"/>
    </xf>
    <xf numFmtId="41" fontId="24" fillId="0" borderId="11" xfId="0" applyNumberFormat="1" applyFont="1" applyFill="1" applyBorder="1" applyProtection="1"/>
    <xf numFmtId="41" fontId="24" fillId="57" borderId="11" xfId="0" applyNumberFormat="1" applyFont="1" applyFill="1" applyBorder="1" applyAlignment="1" applyProtection="1">
      <alignment horizontal="right"/>
    </xf>
    <xf numFmtId="41" fontId="24" fillId="57" borderId="11" xfId="0" applyNumberFormat="1" applyFont="1" applyFill="1" applyBorder="1" applyProtection="1"/>
    <xf numFmtId="41" fontId="24" fillId="58" borderId="11" xfId="0" applyNumberFormat="1" applyFont="1" applyFill="1" applyBorder="1" applyProtection="1"/>
    <xf numFmtId="0" fontId="32" fillId="0" borderId="11" xfId="0" applyFont="1" applyFill="1" applyBorder="1" applyAlignment="1" applyProtection="1">
      <alignment horizontal="center"/>
      <protection locked="0"/>
    </xf>
    <xf numFmtId="0" fontId="24" fillId="0" borderId="11" xfId="0" applyFont="1" applyFill="1" applyBorder="1" applyAlignment="1" applyProtection="1">
      <alignment horizontal="center" wrapText="1"/>
      <protection locked="0"/>
    </xf>
    <xf numFmtId="0" fontId="24" fillId="0" borderId="11" xfId="0" applyFont="1" applyFill="1" applyBorder="1" applyProtection="1">
      <protection locked="0"/>
    </xf>
    <xf numFmtId="0" fontId="77" fillId="0" borderId="0" xfId="0" applyFont="1" applyAlignment="1" applyProtection="1">
      <alignment vertical="center"/>
      <protection locked="0"/>
    </xf>
    <xf numFmtId="0" fontId="91" fillId="0" borderId="0" xfId="0" applyFont="1" applyAlignment="1" applyProtection="1">
      <alignment horizontal="center" vertical="center" wrapText="1"/>
      <protection locked="0"/>
    </xf>
    <xf numFmtId="0" fontId="78" fillId="0" borderId="0" xfId="0" applyFont="1" applyAlignment="1" applyProtection="1">
      <alignment vertical="center"/>
      <protection locked="0"/>
    </xf>
    <xf numFmtId="0" fontId="79" fillId="0" borderId="0" xfId="0" applyFont="1" applyAlignment="1" applyProtection="1">
      <alignment vertical="center"/>
      <protection locked="0"/>
    </xf>
    <xf numFmtId="166" fontId="79" fillId="0" borderId="0" xfId="55" applyNumberFormat="1" applyFont="1" applyAlignment="1" applyProtection="1">
      <alignment vertical="center"/>
      <protection locked="0"/>
    </xf>
    <xf numFmtId="166" fontId="77" fillId="0" borderId="0" xfId="55" applyNumberFormat="1" applyFont="1" applyAlignment="1" applyProtection="1">
      <alignment vertical="center"/>
      <protection locked="0"/>
    </xf>
    <xf numFmtId="166" fontId="78" fillId="0" borderId="0" xfId="55" quotePrefix="1" applyNumberFormat="1" applyFont="1" applyAlignment="1" applyProtection="1">
      <alignment horizontal="center" vertical="center"/>
      <protection locked="0"/>
    </xf>
    <xf numFmtId="166" fontId="80" fillId="0" borderId="0" xfId="55" applyNumberFormat="1" applyFont="1" applyAlignment="1" applyProtection="1">
      <alignment vertical="center"/>
      <protection locked="0"/>
    </xf>
    <xf numFmtId="0" fontId="24" fillId="0" borderId="0" xfId="0" applyFont="1" applyAlignment="1" applyProtection="1">
      <alignment vertical="center"/>
      <protection locked="0"/>
    </xf>
    <xf numFmtId="166" fontId="24" fillId="0" borderId="0" xfId="55" applyNumberFormat="1" applyFont="1" applyAlignment="1" applyProtection="1">
      <alignment vertical="center"/>
      <protection locked="0"/>
    </xf>
    <xf numFmtId="0" fontId="0" fillId="0" borderId="0" xfId="0" applyProtection="1">
      <protection locked="0"/>
    </xf>
    <xf numFmtId="166" fontId="0" fillId="0" borderId="0" xfId="55" applyNumberFormat="1" applyFont="1" applyProtection="1">
      <protection locked="0"/>
    </xf>
    <xf numFmtId="166" fontId="78" fillId="70" borderId="0" xfId="55" applyNumberFormat="1" applyFont="1" applyFill="1" applyAlignment="1" applyProtection="1">
      <alignment vertical="center"/>
      <protection locked="0"/>
    </xf>
    <xf numFmtId="166" fontId="80" fillId="70" borderId="0" xfId="55" applyNumberFormat="1" applyFont="1" applyFill="1" applyAlignment="1" applyProtection="1">
      <alignment vertical="center"/>
      <protection locked="0"/>
    </xf>
    <xf numFmtId="171" fontId="78" fillId="0" borderId="0" xfId="62" applyNumberFormat="1" applyFont="1" applyAlignment="1" applyProtection="1">
      <alignment vertical="center"/>
    </xf>
    <xf numFmtId="166" fontId="78" fillId="0" borderId="0" xfId="55" quotePrefix="1" applyNumberFormat="1" applyFont="1" applyAlignment="1" applyProtection="1">
      <alignment horizontal="center" vertical="center"/>
    </xf>
    <xf numFmtId="166" fontId="80" fillId="0" borderId="0" xfId="55" applyNumberFormat="1" applyFont="1" applyAlignment="1" applyProtection="1">
      <alignment vertical="center"/>
    </xf>
    <xf numFmtId="171" fontId="78" fillId="0" borderId="0" xfId="62" quotePrefix="1" applyNumberFormat="1" applyFont="1" applyAlignment="1" applyProtection="1">
      <alignment horizontal="center" vertical="center"/>
    </xf>
    <xf numFmtId="166" fontId="78" fillId="0" borderId="0" xfId="55" applyNumberFormat="1" applyFont="1" applyAlignment="1" applyProtection="1">
      <alignment vertical="center"/>
    </xf>
    <xf numFmtId="171" fontId="90" fillId="0" borderId="0" xfId="62" applyNumberFormat="1" applyFont="1" applyAlignment="1" applyProtection="1">
      <alignment vertical="center"/>
    </xf>
    <xf numFmtId="0" fontId="93" fillId="0" borderId="0" xfId="0" applyFont="1" applyFill="1" applyProtection="1">
      <protection locked="0"/>
    </xf>
    <xf numFmtId="0" fontId="0" fillId="0" borderId="0" xfId="0" applyFill="1" applyProtection="1">
      <protection locked="0"/>
    </xf>
    <xf numFmtId="0" fontId="106" fillId="0" borderId="0" xfId="0" applyFont="1" applyAlignment="1" applyProtection="1">
      <protection locked="0"/>
    </xf>
    <xf numFmtId="0" fontId="93" fillId="61" borderId="0" xfId="0" applyFont="1" applyFill="1" applyProtection="1">
      <protection locked="0"/>
    </xf>
    <xf numFmtId="0" fontId="0" fillId="61" borderId="0" xfId="0" applyFill="1" applyProtection="1">
      <protection locked="0"/>
    </xf>
    <xf numFmtId="0" fontId="0" fillId="0" borderId="29" xfId="0" applyFill="1" applyBorder="1" applyAlignment="1" applyProtection="1">
      <alignment horizontal="center"/>
      <protection locked="0"/>
    </xf>
    <xf numFmtId="0" fontId="0" fillId="0" borderId="14" xfId="0" applyFill="1" applyBorder="1" applyProtection="1">
      <protection locked="0"/>
    </xf>
    <xf numFmtId="0" fontId="0" fillId="0" borderId="26" xfId="0" applyFill="1" applyBorder="1" applyProtection="1">
      <protection locked="0"/>
    </xf>
    <xf numFmtId="0" fontId="0" fillId="0" borderId="0" xfId="0" applyFill="1" applyBorder="1" applyProtection="1">
      <protection locked="0"/>
    </xf>
    <xf numFmtId="0" fontId="0" fillId="0" borderId="14" xfId="0" applyBorder="1" applyProtection="1">
      <protection locked="0"/>
    </xf>
    <xf numFmtId="0" fontId="0" fillId="0" borderId="26" xfId="0" applyBorder="1" applyProtection="1">
      <protection locked="0"/>
    </xf>
    <xf numFmtId="0" fontId="88" fillId="0" borderId="0" xfId="0" applyFont="1" applyFill="1" applyProtection="1">
      <protection locked="0"/>
    </xf>
    <xf numFmtId="0" fontId="88" fillId="0" borderId="0" xfId="0" applyFont="1" applyFill="1" applyAlignment="1" applyProtection="1">
      <alignment horizontal="center"/>
      <protection locked="0"/>
    </xf>
    <xf numFmtId="0" fontId="74" fillId="0" borderId="0" xfId="0" applyFont="1" applyFill="1" applyAlignment="1" applyProtection="1">
      <alignment horizontal="center"/>
      <protection locked="0"/>
    </xf>
    <xf numFmtId="0" fontId="94" fillId="0" borderId="24" xfId="0" applyFont="1" applyFill="1" applyBorder="1" applyAlignment="1" applyProtection="1">
      <alignment horizontal="center"/>
      <protection locked="0"/>
    </xf>
    <xf numFmtId="0" fontId="88" fillId="0" borderId="0" xfId="0" applyFont="1" applyFill="1" applyBorder="1" applyAlignment="1" applyProtection="1">
      <alignment horizontal="center"/>
      <protection locked="0"/>
    </xf>
    <xf numFmtId="0" fontId="88" fillId="0" borderId="25" xfId="0" applyFont="1" applyFill="1" applyBorder="1" applyAlignment="1" applyProtection="1">
      <alignment horizontal="center"/>
      <protection locked="0"/>
    </xf>
    <xf numFmtId="0" fontId="88" fillId="0" borderId="0" xfId="0" applyFont="1" applyBorder="1" applyAlignment="1" applyProtection="1">
      <alignment horizontal="center"/>
      <protection locked="0"/>
    </xf>
    <xf numFmtId="0" fontId="88" fillId="0" borderId="25" xfId="0" applyFont="1" applyBorder="1" applyAlignment="1" applyProtection="1">
      <alignment horizontal="center"/>
      <protection locked="0"/>
    </xf>
    <xf numFmtId="0" fontId="0" fillId="0" borderId="0" xfId="0" applyFill="1" applyAlignment="1" applyProtection="1">
      <alignment vertical="top"/>
      <protection locked="0"/>
    </xf>
    <xf numFmtId="166" fontId="0" fillId="0" borderId="0" xfId="55" applyNumberFormat="1" applyFont="1" applyFill="1" applyAlignment="1" applyProtection="1">
      <alignment vertical="top"/>
      <protection locked="0"/>
    </xf>
    <xf numFmtId="0" fontId="89" fillId="0" borderId="0" xfId="0" applyFont="1" applyFill="1" applyBorder="1" applyAlignment="1" applyProtection="1">
      <alignment vertical="top"/>
      <protection locked="0"/>
    </xf>
    <xf numFmtId="43" fontId="89" fillId="0" borderId="0" xfId="55" applyFont="1" applyFill="1" applyBorder="1" applyAlignment="1" applyProtection="1">
      <alignment vertical="top"/>
      <protection locked="0"/>
    </xf>
    <xf numFmtId="0" fontId="89" fillId="0" borderId="0" xfId="0" applyFont="1" applyFill="1" applyBorder="1" applyAlignment="1" applyProtection="1">
      <alignment vertical="top" wrapText="1"/>
      <protection locked="0"/>
    </xf>
    <xf numFmtId="166" fontId="0" fillId="0" borderId="0" xfId="55" applyNumberFormat="1" applyFont="1" applyFill="1" applyProtection="1">
      <protection locked="0"/>
    </xf>
    <xf numFmtId="0" fontId="89" fillId="0" borderId="0" xfId="0" applyFont="1" applyFill="1" applyBorder="1" applyProtection="1">
      <protection locked="0"/>
    </xf>
    <xf numFmtId="43" fontId="89" fillId="0" borderId="0" xfId="55" applyFont="1" applyFill="1" applyBorder="1" applyProtection="1">
      <protection locked="0"/>
    </xf>
    <xf numFmtId="0" fontId="89" fillId="0" borderId="12" xfId="0" applyFont="1" applyFill="1" applyBorder="1" applyProtection="1">
      <protection locked="0"/>
    </xf>
    <xf numFmtId="0" fontId="89" fillId="0" borderId="0" xfId="0" applyFont="1" applyFill="1" applyProtection="1">
      <protection locked="0"/>
    </xf>
    <xf numFmtId="0" fontId="0" fillId="0" borderId="0" xfId="0" applyFill="1" applyAlignment="1" applyProtection="1">
      <alignment horizontal="right"/>
      <protection locked="0"/>
    </xf>
    <xf numFmtId="0" fontId="89" fillId="61" borderId="0" xfId="0" applyFont="1" applyFill="1" applyProtection="1">
      <protection locked="0"/>
    </xf>
    <xf numFmtId="0" fontId="89" fillId="0" borderId="0" xfId="0" applyFont="1" applyProtection="1">
      <protection locked="0"/>
    </xf>
    <xf numFmtId="0" fontId="0" fillId="0" borderId="11" xfId="0" applyBorder="1" applyProtection="1">
      <protection locked="0"/>
    </xf>
    <xf numFmtId="166" fontId="0" fillId="0" borderId="0" xfId="55" applyNumberFormat="1" applyFont="1" applyFill="1" applyAlignment="1" applyProtection="1">
      <alignment vertical="top"/>
    </xf>
    <xf numFmtId="166" fontId="0" fillId="0" borderId="0" xfId="55" applyNumberFormat="1" applyFont="1" applyFill="1" applyProtection="1"/>
    <xf numFmtId="171" fontId="0" fillId="0" borderId="24" xfId="62" applyNumberFormat="1" applyFont="1" applyFill="1" applyBorder="1" applyAlignment="1" applyProtection="1">
      <alignment vertical="top"/>
    </xf>
    <xf numFmtId="171" fontId="0" fillId="0" borderId="24" xfId="62" applyNumberFormat="1" applyFont="1" applyFill="1" applyBorder="1" applyProtection="1"/>
    <xf numFmtId="171" fontId="0" fillId="0" borderId="27" xfId="62" applyNumberFormat="1" applyFont="1" applyFill="1" applyBorder="1" applyProtection="1"/>
    <xf numFmtId="43" fontId="89" fillId="0" borderId="25" xfId="55" applyFont="1" applyFill="1" applyBorder="1" applyAlignment="1" applyProtection="1">
      <alignment vertical="top"/>
    </xf>
    <xf numFmtId="43" fontId="89" fillId="0" borderId="25" xfId="55" applyFont="1" applyFill="1" applyBorder="1" applyProtection="1"/>
    <xf numFmtId="43" fontId="89" fillId="0" borderId="28" xfId="55" applyFont="1" applyFill="1" applyBorder="1" applyProtection="1"/>
    <xf numFmtId="43" fontId="89" fillId="0" borderId="25" xfId="55" applyFont="1" applyBorder="1" applyAlignment="1" applyProtection="1">
      <alignment vertical="top"/>
    </xf>
    <xf numFmtId="43" fontId="89" fillId="0" borderId="25" xfId="55" applyFont="1" applyBorder="1" applyProtection="1"/>
    <xf numFmtId="43" fontId="89" fillId="0" borderId="0" xfId="55" applyFont="1" applyFill="1" applyBorder="1" applyAlignment="1" applyProtection="1">
      <alignment vertical="top"/>
    </xf>
    <xf numFmtId="43" fontId="89" fillId="0" borderId="0" xfId="55" applyFont="1" applyFill="1" applyBorder="1" applyProtection="1"/>
    <xf numFmtId="43" fontId="89" fillId="0" borderId="12" xfId="55" applyFont="1" applyFill="1" applyBorder="1" applyProtection="1"/>
    <xf numFmtId="43" fontId="89" fillId="0" borderId="0" xfId="0" applyNumberFormat="1" applyFont="1" applyFill="1" applyProtection="1"/>
    <xf numFmtId="43" fontId="89" fillId="0" borderId="0" xfId="55" applyFont="1" applyBorder="1" applyAlignment="1" applyProtection="1">
      <alignment vertical="top"/>
    </xf>
    <xf numFmtId="43" fontId="89" fillId="0" borderId="0" xfId="55" applyFont="1" applyBorder="1" applyProtection="1"/>
    <xf numFmtId="43" fontId="89" fillId="0" borderId="12" xfId="55" applyFont="1" applyBorder="1" applyProtection="1"/>
    <xf numFmtId="43" fontId="89" fillId="0" borderId="0" xfId="0" applyNumberFormat="1" applyFont="1" applyProtection="1"/>
    <xf numFmtId="0" fontId="108" fillId="54" borderId="0" xfId="0" applyFont="1" applyFill="1" applyAlignment="1">
      <alignment vertical="center"/>
    </xf>
    <xf numFmtId="0" fontId="0" fillId="54" borderId="0" xfId="0" applyFill="1"/>
    <xf numFmtId="0" fontId="108" fillId="63" borderId="0" xfId="0" applyFont="1" applyFill="1" applyAlignment="1">
      <alignment vertical="center"/>
    </xf>
    <xf numFmtId="0" fontId="0" fillId="63" borderId="0" xfId="0" applyFill="1"/>
    <xf numFmtId="0" fontId="108" fillId="55" borderId="0" xfId="0" applyFont="1" applyFill="1" applyAlignment="1">
      <alignment vertical="center"/>
    </xf>
    <xf numFmtId="0" fontId="0" fillId="55" borderId="0" xfId="0" applyFill="1"/>
    <xf numFmtId="0" fontId="108" fillId="71" borderId="0" xfId="0" applyFont="1" applyFill="1" applyAlignment="1">
      <alignment vertical="center"/>
    </xf>
    <xf numFmtId="0" fontId="0" fillId="71" borderId="0" xfId="0" applyFill="1"/>
    <xf numFmtId="0" fontId="108" fillId="68" borderId="0" xfId="0" applyFont="1" applyFill="1" applyAlignment="1">
      <alignment vertical="center"/>
    </xf>
    <xf numFmtId="0" fontId="0" fillId="68" borderId="0" xfId="0" applyFill="1"/>
    <xf numFmtId="0" fontId="1" fillId="0" borderId="0" xfId="0" applyFont="1" applyProtection="1"/>
    <xf numFmtId="0" fontId="1" fillId="0" borderId="0" xfId="0" applyFont="1" applyAlignment="1" applyProtection="1">
      <alignment horizontal="right"/>
    </xf>
    <xf numFmtId="14" fontId="1" fillId="63" borderId="0" xfId="0" applyNumberFormat="1" applyFont="1" applyFill="1" applyProtection="1"/>
    <xf numFmtId="0" fontId="109" fillId="0" borderId="0" xfId="0" applyFont="1" applyProtection="1"/>
    <xf numFmtId="0" fontId="5" fillId="63" borderId="0" xfId="0" applyFont="1" applyFill="1" applyProtection="1"/>
    <xf numFmtId="0" fontId="1" fillId="63" borderId="0" xfId="0" applyFont="1" applyFill="1" applyProtection="1"/>
    <xf numFmtId="0" fontId="5" fillId="0" borderId="0" xfId="0" applyFont="1" applyProtection="1"/>
    <xf numFmtId="43" fontId="1" fillId="63" borderId="0" xfId="55" applyFont="1" applyFill="1" applyProtection="1"/>
    <xf numFmtId="43" fontId="5" fillId="0" borderId="0" xfId="55" applyFont="1" applyProtection="1"/>
    <xf numFmtId="43" fontId="1" fillId="63" borderId="12" xfId="55" applyFont="1" applyFill="1" applyBorder="1" applyProtection="1"/>
    <xf numFmtId="43" fontId="1" fillId="0" borderId="0" xfId="55" applyFont="1" applyFill="1" applyBorder="1" applyProtection="1"/>
    <xf numFmtId="43" fontId="1" fillId="0" borderId="12" xfId="55" applyFont="1" applyFill="1" applyBorder="1" applyProtection="1"/>
    <xf numFmtId="43" fontId="1" fillId="0" borderId="0" xfId="55" applyFont="1" applyFill="1" applyProtection="1"/>
    <xf numFmtId="43" fontId="5" fillId="0" borderId="0" xfId="55" applyFont="1" applyFill="1" applyProtection="1"/>
    <xf numFmtId="43" fontId="1" fillId="0" borderId="12" xfId="55" applyFont="1" applyBorder="1" applyProtection="1"/>
    <xf numFmtId="43" fontId="5" fillId="0" borderId="0" xfId="0" applyNumberFormat="1" applyFont="1" applyProtection="1"/>
    <xf numFmtId="43" fontId="5" fillId="0" borderId="51" xfId="0" applyNumberFormat="1" applyFont="1" applyBorder="1" applyProtection="1"/>
    <xf numFmtId="0" fontId="5" fillId="0" borderId="52" xfId="0" applyFont="1" applyBorder="1" applyProtection="1"/>
    <xf numFmtId="0" fontId="1" fillId="0" borderId="49" xfId="91" applyFont="1" applyFill="1" applyBorder="1" applyAlignment="1">
      <alignment horizontal="left" vertical="top" wrapText="1"/>
    </xf>
    <xf numFmtId="0" fontId="1" fillId="0" borderId="49" xfId="91" applyFont="1" applyFill="1" applyBorder="1" applyAlignment="1">
      <alignment horizontal="center" vertical="top" wrapText="1"/>
    </xf>
    <xf numFmtId="165" fontId="92" fillId="0" borderId="49" xfId="91" applyNumberFormat="1" applyFont="1" applyFill="1" applyBorder="1" applyAlignment="1">
      <alignment horizontal="left" vertical="top" wrapText="1"/>
    </xf>
    <xf numFmtId="10" fontId="1" fillId="0" borderId="0" xfId="103" applyNumberFormat="1" applyFont="1" applyProtection="1"/>
    <xf numFmtId="0" fontId="100" fillId="0" borderId="0" xfId="0" applyFont="1" applyFill="1" applyBorder="1" applyAlignment="1">
      <alignment horizontal="left" vertical="top"/>
    </xf>
    <xf numFmtId="44" fontId="30" fillId="0" borderId="11" xfId="63" applyFont="1" applyBorder="1" applyAlignment="1">
      <alignment vertical="center" wrapText="1"/>
    </xf>
    <xf numFmtId="44" fontId="86" fillId="0" borderId="11" xfId="63" applyFont="1" applyBorder="1" applyAlignment="1">
      <alignment vertical="center" wrapText="1"/>
    </xf>
    <xf numFmtId="0" fontId="109" fillId="0" borderId="0" xfId="0" applyFont="1" applyFill="1" applyProtection="1">
      <protection locked="0"/>
    </xf>
    <xf numFmtId="0" fontId="25" fillId="0" borderId="0" xfId="98" applyNumberFormat="1" applyFont="1" applyFill="1" applyAlignment="1">
      <alignment horizontal="left" vertical="top" wrapText="1"/>
    </xf>
    <xf numFmtId="174" fontId="25" fillId="0" borderId="0" xfId="98" applyNumberFormat="1" applyFont="1" applyFill="1" applyAlignment="1">
      <alignment horizontal="center" vertical="center" wrapText="1"/>
    </xf>
    <xf numFmtId="0" fontId="25" fillId="0" borderId="0" xfId="98" applyNumberFormat="1" applyFont="1" applyFill="1" applyAlignment="1">
      <alignment horizontal="left" vertical="center" wrapText="1"/>
    </xf>
    <xf numFmtId="0" fontId="25" fillId="0" borderId="0" xfId="98" applyNumberFormat="1" applyFont="1" applyFill="1" applyAlignment="1">
      <alignment horizontal="center" vertical="center" wrapText="1"/>
    </xf>
    <xf numFmtId="0" fontId="25" fillId="0" borderId="0" xfId="98" applyNumberFormat="1" applyFont="1" applyFill="1" applyAlignment="1">
      <alignment horizontal="right" vertical="center" wrapText="1"/>
    </xf>
    <xf numFmtId="166" fontId="25" fillId="0" borderId="0" xfId="111" applyNumberFormat="1" applyFont="1" applyFill="1" applyAlignment="1">
      <alignment horizontal="right" vertical="center" wrapText="1"/>
    </xf>
    <xf numFmtId="175" fontId="25" fillId="0" borderId="0" xfId="98" applyNumberFormat="1" applyFont="1" applyFill="1" applyAlignment="1">
      <alignment horizontal="right" vertical="center" wrapText="1"/>
    </xf>
    <xf numFmtId="0" fontId="71" fillId="0" borderId="0" xfId="98" applyFont="1" applyFill="1"/>
    <xf numFmtId="0" fontId="71" fillId="0" borderId="0" xfId="98" applyFont="1" applyFill="1" applyAlignment="1">
      <alignment horizontal="center"/>
    </xf>
    <xf numFmtId="0" fontId="25" fillId="0" borderId="0" xfId="0" applyNumberFormat="1" applyFont="1" applyAlignment="1">
      <alignment horizontal="left" vertical="top" wrapText="1"/>
    </xf>
    <xf numFmtId="0" fontId="25" fillId="0" borderId="12" xfId="0" applyNumberFormat="1" applyFont="1" applyBorder="1" applyAlignment="1">
      <alignment horizontal="left" vertical="top" wrapText="1"/>
    </xf>
    <xf numFmtId="0" fontId="102" fillId="0" borderId="0" xfId="98" applyFont="1"/>
    <xf numFmtId="0" fontId="110" fillId="0" borderId="0" xfId="0" applyFont="1"/>
    <xf numFmtId="0" fontId="25" fillId="0" borderId="23" xfId="95" applyFont="1" applyFill="1" applyBorder="1" applyAlignment="1">
      <alignment horizontal="left" wrapText="1"/>
    </xf>
    <xf numFmtId="0" fontId="1" fillId="0" borderId="23" xfId="95" applyFont="1" applyFill="1" applyBorder="1" applyAlignment="1">
      <alignment horizontal="center" wrapText="1"/>
    </xf>
    <xf numFmtId="166" fontId="2" fillId="0" borderId="0" xfId="55" applyNumberFormat="1" applyFont="1" applyAlignment="1">
      <alignment horizontal="right" wrapText="1"/>
    </xf>
    <xf numFmtId="166" fontId="2" fillId="0" borderId="0" xfId="55" applyNumberFormat="1" applyFont="1" applyBorder="1" applyAlignment="1">
      <alignment horizontal="right" wrapText="1"/>
    </xf>
    <xf numFmtId="166" fontId="2" fillId="0" borderId="0" xfId="55" applyNumberFormat="1" applyFont="1" applyFill="1" applyBorder="1" applyAlignment="1">
      <alignment horizontal="right" wrapText="1"/>
    </xf>
    <xf numFmtId="166" fontId="2" fillId="0" borderId="0" xfId="0" applyNumberFormat="1" applyFont="1"/>
    <xf numFmtId="43" fontId="9" fillId="0" borderId="0" xfId="55" applyFont="1"/>
    <xf numFmtId="43" fontId="0" fillId="0" borderId="0" xfId="0" applyNumberFormat="1" applyFill="1" applyProtection="1">
      <protection locked="0"/>
    </xf>
    <xf numFmtId="0" fontId="114" fillId="70" borderId="0" xfId="0" applyFont="1" applyFill="1" applyAlignment="1" applyProtection="1">
      <alignment horizontal="center" vertical="center"/>
      <protection locked="0"/>
    </xf>
    <xf numFmtId="43" fontId="32" fillId="0" borderId="11" xfId="55" applyFont="1" applyFill="1" applyBorder="1" applyAlignment="1" applyProtection="1">
      <alignment horizontal="left"/>
    </xf>
    <xf numFmtId="44" fontId="22" fillId="0" borderId="0" xfId="0" applyNumberFormat="1" applyFont="1"/>
    <xf numFmtId="43" fontId="97" fillId="0" borderId="0" xfId="55" applyFont="1" applyAlignment="1"/>
    <xf numFmtId="43" fontId="97" fillId="0" borderId="0" xfId="0" applyNumberFormat="1" applyFont="1" applyAlignment="1"/>
    <xf numFmtId="43" fontId="20" fillId="0" borderId="0" xfId="0" applyNumberFormat="1" applyFont="1"/>
    <xf numFmtId="49" fontId="33" fillId="0" borderId="0" xfId="0" applyNumberFormat="1" applyFont="1" applyBorder="1" applyAlignment="1" applyProtection="1">
      <alignment horizontal="center"/>
      <protection locked="0"/>
    </xf>
    <xf numFmtId="0" fontId="24" fillId="53" borderId="11" xfId="0" applyFont="1" applyFill="1" applyBorder="1" applyAlignment="1" applyProtection="1">
      <alignment horizontal="right" wrapText="1"/>
      <protection locked="0"/>
    </xf>
    <xf numFmtId="0" fontId="115" fillId="72" borderId="0" xfId="0" applyFont="1" applyFill="1" applyBorder="1" applyAlignment="1" applyProtection="1">
      <alignment horizontal="center" wrapText="1"/>
      <protection locked="0"/>
    </xf>
    <xf numFmtId="0" fontId="113" fillId="73" borderId="0" xfId="0" applyFont="1" applyFill="1" applyProtection="1">
      <protection locked="0"/>
    </xf>
    <xf numFmtId="0" fontId="0" fillId="53" borderId="11" xfId="0" applyFill="1" applyBorder="1" applyProtection="1">
      <protection locked="0"/>
    </xf>
    <xf numFmtId="0" fontId="109" fillId="74" borderId="0" xfId="0" applyFont="1" applyFill="1" applyProtection="1">
      <protection locked="0"/>
    </xf>
    <xf numFmtId="0" fontId="0" fillId="74" borderId="0" xfId="0" applyFill="1" applyProtection="1">
      <protection locked="0"/>
    </xf>
    <xf numFmtId="0" fontId="106" fillId="74" borderId="0" xfId="0" applyFont="1" applyFill="1" applyAlignment="1" applyProtection="1">
      <protection locked="0"/>
    </xf>
    <xf numFmtId="0" fontId="32" fillId="75" borderId="0" xfId="0" applyFont="1" applyFill="1" applyBorder="1" applyAlignment="1" applyProtection="1">
      <alignment horizontal="center" wrapText="1"/>
      <protection locked="0"/>
    </xf>
    <xf numFmtId="179" fontId="32" fillId="75" borderId="11" xfId="0" applyNumberFormat="1" applyFont="1" applyFill="1" applyBorder="1" applyAlignment="1" applyProtection="1">
      <alignment wrapText="1"/>
      <protection locked="0"/>
    </xf>
    <xf numFmtId="2" fontId="32" fillId="75" borderId="11" xfId="0" applyNumberFormat="1" applyFont="1" applyFill="1" applyBorder="1" applyAlignment="1" applyProtection="1">
      <alignment wrapText="1"/>
      <protection locked="0"/>
    </xf>
    <xf numFmtId="0" fontId="35" fillId="76" borderId="24" xfId="0" applyFont="1" applyFill="1" applyBorder="1" applyAlignment="1" applyProtection="1">
      <alignment horizontal="left"/>
      <protection locked="0"/>
    </xf>
    <xf numFmtId="0" fontId="35" fillId="76" borderId="0" xfId="0" applyFont="1" applyFill="1" applyBorder="1" applyAlignment="1" applyProtection="1">
      <alignment horizontal="left"/>
      <protection locked="0"/>
    </xf>
    <xf numFmtId="0" fontId="34" fillId="76" borderId="12" xfId="0" applyFont="1" applyFill="1" applyBorder="1" applyAlignment="1" applyProtection="1">
      <alignment horizontal="left" wrapText="1"/>
      <protection locked="0"/>
    </xf>
    <xf numFmtId="0" fontId="34" fillId="76" borderId="12" xfId="0" applyFont="1" applyFill="1" applyBorder="1" applyAlignment="1" applyProtection="1">
      <alignment horizontal="center"/>
      <protection locked="0"/>
    </xf>
    <xf numFmtId="0" fontId="119" fillId="0" borderId="0" xfId="0" applyFont="1" applyBorder="1"/>
    <xf numFmtId="0" fontId="35" fillId="76" borderId="0" xfId="0" applyFont="1" applyFill="1" applyBorder="1" applyAlignment="1" applyProtection="1">
      <alignment horizontal="center" wrapText="1"/>
      <protection locked="0"/>
    </xf>
    <xf numFmtId="164" fontId="32" fillId="54" borderId="55" xfId="0" applyNumberFormat="1" applyFont="1" applyFill="1" applyBorder="1" applyAlignment="1" applyProtection="1">
      <alignment horizontal="center" wrapText="1"/>
      <protection locked="0"/>
    </xf>
    <xf numFmtId="164" fontId="32" fillId="54" borderId="56" xfId="0" applyNumberFormat="1" applyFont="1" applyFill="1" applyBorder="1" applyAlignment="1" applyProtection="1">
      <alignment horizontal="center" wrapText="1"/>
      <protection locked="0"/>
    </xf>
    <xf numFmtId="41" fontId="24" fillId="0" borderId="58" xfId="0" applyNumberFormat="1" applyFont="1" applyFill="1" applyBorder="1" applyAlignment="1" applyProtection="1">
      <alignment horizontal="right"/>
    </xf>
    <xf numFmtId="0" fontId="24" fillId="0" borderId="57" xfId="0" applyFont="1" applyFill="1" applyBorder="1" applyAlignment="1" applyProtection="1">
      <alignment wrapText="1"/>
      <protection locked="0"/>
    </xf>
    <xf numFmtId="0" fontId="24" fillId="0" borderId="59" xfId="0" applyFont="1" applyFill="1" applyBorder="1" applyAlignment="1" applyProtection="1">
      <alignment wrapText="1"/>
      <protection locked="0"/>
    </xf>
    <xf numFmtId="0" fontId="24" fillId="0" borderId="61" xfId="0" applyFont="1" applyFill="1" applyBorder="1" applyAlignment="1" applyProtection="1">
      <alignment wrapText="1"/>
      <protection locked="0"/>
    </xf>
    <xf numFmtId="0" fontId="24" fillId="53" borderId="62" xfId="0" applyFont="1" applyFill="1" applyBorder="1" applyAlignment="1" applyProtection="1">
      <alignment horizontal="right" wrapText="1"/>
      <protection locked="0"/>
    </xf>
    <xf numFmtId="2" fontId="32" fillId="75" borderId="62" xfId="0" applyNumberFormat="1" applyFont="1" applyFill="1" applyBorder="1" applyAlignment="1" applyProtection="1">
      <alignment wrapText="1"/>
      <protection locked="0"/>
    </xf>
    <xf numFmtId="0" fontId="32" fillId="0" borderId="63" xfId="0" applyFont="1" applyFill="1" applyBorder="1" applyAlignment="1" applyProtection="1">
      <alignment horizontal="center"/>
      <protection locked="0"/>
    </xf>
    <xf numFmtId="41" fontId="24" fillId="0" borderId="62" xfId="0" applyNumberFormat="1" applyFont="1" applyFill="1" applyBorder="1" applyAlignment="1" applyProtection="1">
      <alignment horizontal="right"/>
    </xf>
    <xf numFmtId="41" fontId="24" fillId="0" borderId="64" xfId="0" applyNumberFormat="1" applyFont="1" applyFill="1" applyBorder="1" applyAlignment="1" applyProtection="1">
      <alignment horizontal="right"/>
    </xf>
    <xf numFmtId="41" fontId="32" fillId="0" borderId="66" xfId="0" applyNumberFormat="1" applyFont="1" applyFill="1" applyBorder="1" applyAlignment="1" applyProtection="1">
      <alignment horizontal="right"/>
    </xf>
    <xf numFmtId="41" fontId="32" fillId="0" borderId="67" xfId="0" applyNumberFormat="1" applyFont="1" applyFill="1" applyBorder="1" applyAlignment="1" applyProtection="1">
      <alignment horizontal="right"/>
    </xf>
    <xf numFmtId="0" fontId="87" fillId="0" borderId="0" xfId="0" applyFont="1" applyBorder="1" applyAlignment="1" applyProtection="1">
      <alignment horizontal="center"/>
      <protection locked="0"/>
    </xf>
    <xf numFmtId="0" fontId="29" fillId="0" borderId="0" xfId="0" applyFont="1" applyBorder="1" applyAlignment="1">
      <alignment horizontal="center"/>
    </xf>
    <xf numFmtId="0" fontId="32" fillId="0" borderId="11" xfId="0" applyFont="1" applyFill="1" applyBorder="1" applyAlignment="1" applyProtection="1">
      <alignment horizontal="left"/>
      <protection locked="0"/>
    </xf>
    <xf numFmtId="0" fontId="24" fillId="0" borderId="0" xfId="0" applyFont="1" applyBorder="1" applyAlignment="1" applyProtection="1">
      <alignment horizontal="center" wrapText="1"/>
      <protection locked="0"/>
    </xf>
    <xf numFmtId="0" fontId="22" fillId="0" borderId="0" xfId="0" applyFont="1" applyBorder="1" applyAlignment="1">
      <alignment horizontal="left" wrapText="1"/>
    </xf>
    <xf numFmtId="0" fontId="1" fillId="0" borderId="11" xfId="0" applyFont="1" applyBorder="1" applyAlignment="1" applyProtection="1">
      <alignment horizontal="center"/>
      <protection locked="0"/>
    </xf>
    <xf numFmtId="0" fontId="11" fillId="0" borderId="12" xfId="0" applyFont="1" applyBorder="1" applyAlignment="1">
      <alignment horizontal="center"/>
    </xf>
    <xf numFmtId="41" fontId="24" fillId="0" borderId="0" xfId="0" applyNumberFormat="1" applyFont="1" applyFill="1" applyBorder="1" applyAlignment="1" applyProtection="1">
      <alignment horizontal="right"/>
    </xf>
    <xf numFmtId="41" fontId="24" fillId="0" borderId="60" xfId="0" applyNumberFormat="1" applyFont="1" applyFill="1" applyBorder="1" applyAlignment="1" applyProtection="1">
      <alignment horizontal="right"/>
    </xf>
    <xf numFmtId="0" fontId="87" fillId="0" borderId="0" xfId="0" applyFont="1" applyBorder="1" applyAlignment="1" applyProtection="1">
      <alignment horizontal="center"/>
      <protection locked="0"/>
    </xf>
    <xf numFmtId="0" fontId="84" fillId="0" borderId="0" xfId="62" applyNumberFormat="1" applyFont="1" applyAlignment="1" applyProtection="1">
      <alignment horizontal="center"/>
      <protection locked="0"/>
    </xf>
    <xf numFmtId="7" fontId="84" fillId="0" borderId="51" xfId="62" applyNumberFormat="1" applyFont="1" applyBorder="1" applyAlignment="1" applyProtection="1">
      <alignment horizontal="center"/>
      <protection locked="0"/>
    </xf>
    <xf numFmtId="7" fontId="84" fillId="0" borderId="53" xfId="62" applyNumberFormat="1" applyFont="1" applyBorder="1" applyAlignment="1" applyProtection="1">
      <alignment horizontal="center"/>
      <protection locked="0"/>
    </xf>
    <xf numFmtId="7" fontId="84" fillId="0" borderId="52" xfId="62" applyNumberFormat="1" applyFont="1" applyBorder="1" applyAlignment="1" applyProtection="1">
      <alignment horizontal="center"/>
      <protection locked="0"/>
    </xf>
    <xf numFmtId="0" fontId="24" fillId="0" borderId="11" xfId="0" applyFont="1" applyBorder="1" applyAlignment="1" applyProtection="1">
      <alignment horizontal="left" wrapText="1"/>
      <protection locked="0"/>
    </xf>
    <xf numFmtId="0" fontId="29" fillId="0" borderId="11" xfId="0" applyFont="1" applyFill="1" applyBorder="1" applyAlignment="1" applyProtection="1">
      <alignment horizontal="center"/>
      <protection locked="0"/>
    </xf>
    <xf numFmtId="0" fontId="29" fillId="0" borderId="19" xfId="0" applyFont="1" applyBorder="1" applyAlignment="1" applyProtection="1">
      <alignment horizontal="left" wrapText="1"/>
      <protection locked="0"/>
    </xf>
    <xf numFmtId="0" fontId="29" fillId="0" borderId="13" xfId="0" applyFont="1" applyBorder="1" applyAlignment="1" applyProtection="1">
      <alignment horizontal="left" wrapText="1"/>
      <protection locked="0"/>
    </xf>
    <xf numFmtId="0" fontId="29" fillId="0" borderId="13" xfId="0" applyFont="1" applyBorder="1" applyAlignment="1" applyProtection="1">
      <alignment horizontal="center"/>
      <protection locked="0"/>
    </xf>
    <xf numFmtId="0" fontId="111" fillId="76" borderId="11" xfId="0" applyFont="1" applyFill="1" applyBorder="1" applyAlignment="1" applyProtection="1">
      <alignment horizontal="center" wrapText="1"/>
      <protection locked="0"/>
    </xf>
    <xf numFmtId="0" fontId="24" fillId="0" borderId="11" xfId="0" applyFont="1" applyFill="1" applyBorder="1" applyAlignment="1" applyProtection="1">
      <alignment horizontal="left" wrapText="1"/>
      <protection locked="0"/>
    </xf>
    <xf numFmtId="0" fontId="112" fillId="76" borderId="19" xfId="0" applyFont="1" applyFill="1" applyBorder="1" applyAlignment="1" applyProtection="1">
      <alignment horizontal="right" wrapText="1"/>
      <protection locked="0"/>
    </xf>
    <xf numFmtId="0" fontId="112" fillId="76" borderId="13" xfId="0" applyFont="1" applyFill="1" applyBorder="1" applyAlignment="1" applyProtection="1">
      <alignment horizontal="right" wrapText="1"/>
      <protection locked="0"/>
    </xf>
    <xf numFmtId="0" fontId="112" fillId="76" borderId="20" xfId="0" applyFont="1" applyFill="1" applyBorder="1" applyAlignment="1" applyProtection="1">
      <alignment horizontal="right" wrapText="1"/>
      <protection locked="0"/>
    </xf>
    <xf numFmtId="0" fontId="24" fillId="0" borderId="57" xfId="0" applyFont="1" applyFill="1" applyBorder="1" applyAlignment="1" applyProtection="1">
      <alignment horizontal="left" wrapText="1"/>
      <protection locked="0"/>
    </xf>
    <xf numFmtId="0" fontId="29" fillId="54" borderId="54" xfId="0" applyFont="1" applyFill="1" applyBorder="1" applyAlignment="1" applyProtection="1">
      <alignment horizontal="left"/>
      <protection locked="0"/>
    </xf>
    <xf numFmtId="0" fontId="29" fillId="54" borderId="55" xfId="0" applyFont="1" applyFill="1" applyBorder="1" applyAlignment="1" applyProtection="1">
      <alignment horizontal="left"/>
      <protection locked="0"/>
    </xf>
    <xf numFmtId="0" fontId="29" fillId="60" borderId="11" xfId="0" applyFont="1" applyFill="1" applyBorder="1" applyAlignment="1" applyProtection="1">
      <alignment horizontal="center" wrapText="1"/>
      <protection locked="0"/>
    </xf>
    <xf numFmtId="0" fontId="29" fillId="0" borderId="66" xfId="0" applyFont="1" applyBorder="1" applyAlignment="1" applyProtection="1">
      <alignment horizontal="center" wrapText="1"/>
      <protection locked="0"/>
    </xf>
    <xf numFmtId="0" fontId="32" fillId="0" borderId="11" xfId="0" applyFont="1" applyFill="1" applyBorder="1" applyAlignment="1" applyProtection="1">
      <alignment horizontal="left"/>
      <protection locked="0"/>
    </xf>
    <xf numFmtId="0" fontId="32" fillId="0" borderId="62" xfId="0" applyFont="1" applyFill="1" applyBorder="1" applyAlignment="1" applyProtection="1">
      <alignment horizontal="left"/>
    </xf>
    <xf numFmtId="49" fontId="118" fillId="77" borderId="0" xfId="0" applyNumberFormat="1" applyFont="1" applyFill="1" applyBorder="1" applyAlignment="1" applyProtection="1">
      <alignment horizontal="center"/>
      <protection locked="0"/>
    </xf>
    <xf numFmtId="0" fontId="34" fillId="58" borderId="19" xfId="0" applyFont="1" applyFill="1" applyBorder="1" applyAlignment="1" applyProtection="1">
      <alignment horizontal="center" wrapText="1"/>
      <protection locked="0"/>
    </xf>
    <xf numFmtId="0" fontId="34" fillId="58" borderId="13" xfId="0" applyFont="1" applyFill="1" applyBorder="1" applyAlignment="1" applyProtection="1">
      <alignment horizontal="center" wrapText="1"/>
      <protection locked="0"/>
    </xf>
    <xf numFmtId="0" fontId="34" fillId="58" borderId="20" xfId="0" applyFont="1" applyFill="1" applyBorder="1" applyAlignment="1" applyProtection="1">
      <alignment horizontal="center" wrapText="1"/>
      <protection locked="0"/>
    </xf>
    <xf numFmtId="0" fontId="35" fillId="0" borderId="11" xfId="0" applyFont="1" applyFill="1" applyBorder="1" applyAlignment="1" applyProtection="1">
      <alignment horizontal="left"/>
    </xf>
    <xf numFmtId="0" fontId="29" fillId="58" borderId="11" xfId="0" applyFont="1" applyFill="1" applyBorder="1" applyAlignment="1" applyProtection="1">
      <alignment horizontal="left" wrapText="1"/>
      <protection locked="0"/>
    </xf>
    <xf numFmtId="0" fontId="24" fillId="0" borderId="24" xfId="0" applyFont="1" applyBorder="1" applyAlignment="1" applyProtection="1">
      <alignment horizontal="center" wrapText="1"/>
      <protection locked="0"/>
    </xf>
    <xf numFmtId="0" fontId="24" fillId="0" borderId="0" xfId="0" applyFont="1" applyBorder="1" applyAlignment="1" applyProtection="1">
      <alignment horizontal="center" wrapText="1"/>
      <protection locked="0"/>
    </xf>
    <xf numFmtId="0" fontId="29" fillId="0" borderId="0" xfId="0" applyFont="1" applyBorder="1" applyAlignment="1" applyProtection="1">
      <alignment horizontal="center"/>
      <protection locked="0"/>
    </xf>
    <xf numFmtId="0" fontId="29" fillId="0" borderId="65" xfId="0" applyFont="1" applyBorder="1" applyAlignment="1" applyProtection="1">
      <alignment horizontal="left" wrapText="1"/>
      <protection locked="0"/>
    </xf>
    <xf numFmtId="0" fontId="29" fillId="0" borderId="66" xfId="0" applyFont="1" applyBorder="1" applyAlignment="1" applyProtection="1">
      <alignment horizontal="left" wrapText="1"/>
      <protection locked="0"/>
    </xf>
    <xf numFmtId="0" fontId="35" fillId="57" borderId="13" xfId="0" applyFont="1" applyFill="1" applyBorder="1" applyAlignment="1" applyProtection="1">
      <alignment horizontal="left" wrapText="1"/>
      <protection locked="0"/>
    </xf>
    <xf numFmtId="0" fontId="116" fillId="72" borderId="55" xfId="0" applyFont="1" applyFill="1" applyBorder="1" applyAlignment="1" applyProtection="1">
      <alignment horizontal="center" wrapText="1"/>
      <protection locked="0"/>
    </xf>
    <xf numFmtId="0" fontId="29" fillId="0" borderId="0" xfId="0" applyFont="1" applyBorder="1" applyAlignment="1">
      <alignment horizontal="center"/>
    </xf>
    <xf numFmtId="0" fontId="29" fillId="58" borderId="11" xfId="0" applyFont="1" applyFill="1" applyBorder="1" applyAlignment="1" applyProtection="1">
      <alignment horizontal="center" wrapText="1"/>
      <protection locked="0"/>
    </xf>
    <xf numFmtId="0" fontId="32" fillId="0" borderId="11" xfId="0" applyFont="1" applyFill="1" applyBorder="1" applyAlignment="1" applyProtection="1">
      <alignment horizontal="left"/>
    </xf>
    <xf numFmtId="0" fontId="29" fillId="58" borderId="19" xfId="0" applyFont="1" applyFill="1" applyBorder="1" applyAlignment="1" applyProtection="1">
      <alignment horizontal="left"/>
      <protection locked="0"/>
    </xf>
    <xf numFmtId="0" fontId="29" fillId="58" borderId="13" xfId="0" applyFont="1" applyFill="1" applyBorder="1" applyAlignment="1" applyProtection="1">
      <alignment horizontal="left"/>
      <protection locked="0"/>
    </xf>
    <xf numFmtId="0" fontId="29" fillId="0" borderId="19" xfId="0" applyFont="1" applyBorder="1" applyAlignment="1" applyProtection="1">
      <alignment horizontal="left"/>
      <protection locked="0"/>
    </xf>
    <xf numFmtId="0" fontId="29" fillId="0" borderId="13" xfId="0" applyFont="1" applyBorder="1" applyAlignment="1" applyProtection="1">
      <alignment horizontal="left"/>
      <protection locked="0"/>
    </xf>
    <xf numFmtId="0" fontId="32" fillId="0" borderId="24" xfId="0" applyFont="1" applyBorder="1" applyAlignment="1" applyProtection="1">
      <alignment horizontal="center" wrapText="1"/>
      <protection locked="0"/>
    </xf>
    <xf numFmtId="0" fontId="32" fillId="0" borderId="0" xfId="0" applyFont="1" applyBorder="1" applyAlignment="1" applyProtection="1">
      <alignment horizontal="center" wrapText="1"/>
      <protection locked="0"/>
    </xf>
    <xf numFmtId="0" fontId="22" fillId="0" borderId="0" xfId="0" applyFont="1" applyBorder="1" applyAlignment="1">
      <alignment horizontal="left" wrapText="1"/>
    </xf>
    <xf numFmtId="0" fontId="1" fillId="0" borderId="11" xfId="0" applyFont="1" applyBorder="1" applyAlignment="1" applyProtection="1">
      <alignment horizontal="center"/>
      <protection locked="0"/>
    </xf>
    <xf numFmtId="41" fontId="0" fillId="73" borderId="11" xfId="0" applyNumberFormat="1" applyFill="1" applyBorder="1" applyAlignment="1" applyProtection="1">
      <alignment horizontal="center"/>
      <protection locked="0"/>
    </xf>
    <xf numFmtId="0" fontId="1" fillId="73" borderId="19" xfId="0" applyFont="1" applyFill="1" applyBorder="1" applyAlignment="1" applyProtection="1">
      <alignment horizontal="right"/>
      <protection locked="0"/>
    </xf>
    <xf numFmtId="0" fontId="0" fillId="73" borderId="13" xfId="0" applyFill="1" applyBorder="1" applyAlignment="1" applyProtection="1">
      <alignment horizontal="right"/>
      <protection locked="0"/>
    </xf>
    <xf numFmtId="0" fontId="0" fillId="73" borderId="20" xfId="0" applyFill="1" applyBorder="1" applyAlignment="1" applyProtection="1">
      <alignment horizontal="right"/>
      <protection locked="0"/>
    </xf>
    <xf numFmtId="41" fontId="0" fillId="0" borderId="11" xfId="0" applyNumberFormat="1" applyBorder="1" applyAlignment="1" applyProtection="1">
      <alignment horizontal="center"/>
      <protection locked="0"/>
    </xf>
    <xf numFmtId="0" fontId="0" fillId="0" borderId="11" xfId="0" applyBorder="1" applyAlignment="1" applyProtection="1">
      <alignment horizontal="center"/>
      <protection locked="0"/>
    </xf>
    <xf numFmtId="41" fontId="0" fillId="0" borderId="11" xfId="0" applyNumberFormat="1" applyBorder="1" applyAlignment="1" applyProtection="1">
      <alignment horizontal="center"/>
    </xf>
    <xf numFmtId="0" fontId="11" fillId="0" borderId="12" xfId="0" applyFont="1" applyBorder="1" applyAlignment="1">
      <alignment horizontal="center"/>
    </xf>
    <xf numFmtId="0" fontId="8" fillId="0" borderId="0" xfId="0" applyFont="1" applyAlignment="1">
      <alignment horizontal="center"/>
    </xf>
    <xf numFmtId="0" fontId="8" fillId="0" borderId="36" xfId="0" applyFont="1" applyBorder="1" applyAlignment="1">
      <alignment horizontal="center"/>
    </xf>
    <xf numFmtId="0" fontId="10" fillId="0" borderId="37" xfId="0" applyFont="1" applyBorder="1" applyAlignment="1">
      <alignment horizontal="center"/>
    </xf>
    <xf numFmtId="170" fontId="9" fillId="0" borderId="0" xfId="0" applyNumberFormat="1" applyFont="1" applyAlignment="1">
      <alignment horizontal="center"/>
    </xf>
    <xf numFmtId="0" fontId="11" fillId="0" borderId="0" xfId="0" applyFont="1" applyBorder="1" applyAlignment="1">
      <alignment horizontal="center"/>
    </xf>
    <xf numFmtId="0" fontId="9" fillId="20" borderId="30" xfId="0" applyFont="1" applyFill="1" applyBorder="1" applyAlignment="1">
      <alignment horizontal="center" vertical="center"/>
    </xf>
    <xf numFmtId="0" fontId="9" fillId="20" borderId="31" xfId="0" applyFont="1" applyFill="1" applyBorder="1" applyAlignment="1">
      <alignment horizontal="center" vertical="center"/>
    </xf>
    <xf numFmtId="0" fontId="9" fillId="20" borderId="32" xfId="0" applyFont="1" applyFill="1" applyBorder="1" applyAlignment="1">
      <alignment horizontal="center" vertical="center"/>
    </xf>
    <xf numFmtId="0" fontId="9" fillId="20" borderId="26" xfId="0" applyFont="1" applyFill="1" applyBorder="1" applyAlignment="1">
      <alignment horizontal="left" vertical="center" wrapText="1"/>
    </xf>
    <xf numFmtId="0" fontId="9" fillId="20" borderId="25" xfId="0" applyFont="1" applyFill="1" applyBorder="1" applyAlignment="1">
      <alignment horizontal="left" vertical="center" wrapText="1"/>
    </xf>
    <xf numFmtId="0" fontId="9" fillId="20" borderId="28" xfId="0" applyFont="1" applyFill="1" applyBorder="1" applyAlignment="1">
      <alignment horizontal="left" vertical="center" wrapText="1"/>
    </xf>
    <xf numFmtId="0" fontId="9" fillId="20" borderId="33" xfId="0" applyFont="1" applyFill="1" applyBorder="1" applyAlignment="1">
      <alignment horizontal="left" wrapText="1"/>
    </xf>
    <xf numFmtId="0" fontId="9" fillId="20" borderId="34" xfId="0" applyFont="1" applyFill="1" applyBorder="1" applyAlignment="1">
      <alignment horizontal="left" wrapText="1"/>
    </xf>
    <xf numFmtId="0" fontId="9" fillId="20" borderId="35" xfId="0" applyFont="1" applyFill="1" applyBorder="1" applyAlignment="1">
      <alignment horizontal="left" wrapText="1"/>
    </xf>
    <xf numFmtId="0" fontId="0" fillId="0" borderId="0" xfId="0" applyAlignment="1">
      <alignment horizontal="center"/>
    </xf>
    <xf numFmtId="0" fontId="56" fillId="0" borderId="0" xfId="98" applyNumberFormat="1" applyFont="1" applyAlignment="1">
      <alignment horizontal="right" vertical="top"/>
    </xf>
    <xf numFmtId="0" fontId="28" fillId="0" borderId="0" xfId="98" applyNumberFormat="1" applyFont="1" applyAlignment="1">
      <alignment horizontal="center" vertical="top" wrapText="1"/>
    </xf>
  </cellXfs>
  <cellStyles count="114">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heck Cell" xfId="53" builtinId="23" customBuiltin="1"/>
    <cellStyle name="Check Cell 2" xfId="54" xr:uid="{00000000-0005-0000-0000-000035000000}"/>
    <cellStyle name="Comma" xfId="55" builtinId="3"/>
    <cellStyle name="Comma 2" xfId="56" xr:uid="{00000000-0005-0000-0000-000037000000}"/>
    <cellStyle name="Comma 2 2" xfId="57" xr:uid="{00000000-0005-0000-0000-000038000000}"/>
    <cellStyle name="Comma 2 3" xfId="58" xr:uid="{00000000-0005-0000-0000-000039000000}"/>
    <cellStyle name="Comma 3" xfId="59" xr:uid="{00000000-0005-0000-0000-00003A000000}"/>
    <cellStyle name="Comma 4" xfId="60" xr:uid="{00000000-0005-0000-0000-00003B000000}"/>
    <cellStyle name="Comma 5" xfId="111" xr:uid="{00000000-0005-0000-0000-00003C000000}"/>
    <cellStyle name="Comma 6" xfId="113" xr:uid="{00000000-0005-0000-0000-00003D000000}"/>
    <cellStyle name="Comma0" xfId="61" xr:uid="{00000000-0005-0000-0000-00003E000000}"/>
    <cellStyle name="Currency" xfId="62" builtinId="4"/>
    <cellStyle name="Currency 2" xfId="63" xr:uid="{00000000-0005-0000-0000-000040000000}"/>
    <cellStyle name="Currency0" xfId="64" xr:uid="{00000000-0005-0000-0000-000041000000}"/>
    <cellStyle name="Date" xfId="65" xr:uid="{00000000-0005-0000-0000-000042000000}"/>
    <cellStyle name="Explanatory Text" xfId="66" builtinId="53" customBuiltin="1"/>
    <cellStyle name="Explanatory Text 2" xfId="67" xr:uid="{00000000-0005-0000-0000-000044000000}"/>
    <cellStyle name="Fixed" xfId="68" xr:uid="{00000000-0005-0000-0000-000045000000}"/>
    <cellStyle name="Good" xfId="69" builtinId="26" customBuiltin="1"/>
    <cellStyle name="Good 2" xfId="70" xr:uid="{00000000-0005-0000-0000-000047000000}"/>
    <cellStyle name="Heading 1" xfId="71" builtinId="16" customBuiltin="1"/>
    <cellStyle name="Heading 1 2" xfId="72" xr:uid="{00000000-0005-0000-0000-000049000000}"/>
    <cellStyle name="Heading 1 3" xfId="73" xr:uid="{00000000-0005-0000-0000-00004A000000}"/>
    <cellStyle name="Heading 2" xfId="74" builtinId="17" customBuiltin="1"/>
    <cellStyle name="Heading 2 2" xfId="75" xr:uid="{00000000-0005-0000-0000-00004C000000}"/>
    <cellStyle name="Heading 2 3" xfId="76" xr:uid="{00000000-0005-0000-0000-00004D000000}"/>
    <cellStyle name="Heading 3" xfId="77" builtinId="18" customBuiltin="1"/>
    <cellStyle name="Heading 3 2" xfId="78" xr:uid="{00000000-0005-0000-0000-00004F000000}"/>
    <cellStyle name="Heading 4" xfId="79" builtinId="19" customBuiltin="1"/>
    <cellStyle name="Heading 4 2" xfId="80" xr:uid="{00000000-0005-0000-0000-000051000000}"/>
    <cellStyle name="HEADING1" xfId="81" xr:uid="{00000000-0005-0000-0000-000052000000}"/>
    <cellStyle name="HEADING2" xfId="82" xr:uid="{00000000-0005-0000-0000-000053000000}"/>
    <cellStyle name="Input" xfId="83" builtinId="20" customBuiltin="1"/>
    <cellStyle name="Input 2" xfId="84" xr:uid="{00000000-0005-0000-0000-000055000000}"/>
    <cellStyle name="Linked Cell" xfId="85" builtinId="24" customBuiltin="1"/>
    <cellStyle name="Linked Cell 2" xfId="86" xr:uid="{00000000-0005-0000-0000-000057000000}"/>
    <cellStyle name="Moeda [0]_24-28" xfId="87" xr:uid="{00000000-0005-0000-0000-000058000000}"/>
    <cellStyle name="Moeda_24-28" xfId="88" xr:uid="{00000000-0005-0000-0000-000059000000}"/>
    <cellStyle name="Neutral" xfId="89" builtinId="28" customBuiltin="1"/>
    <cellStyle name="Neutral 2" xfId="90" xr:uid="{00000000-0005-0000-0000-00005B000000}"/>
    <cellStyle name="Normal" xfId="0" builtinId="0"/>
    <cellStyle name="Normal 2" xfId="91" xr:uid="{00000000-0005-0000-0000-00005D000000}"/>
    <cellStyle name="Normal 2 2" xfId="92" xr:uid="{00000000-0005-0000-0000-00005E000000}"/>
    <cellStyle name="Normal 2 3" xfId="93" xr:uid="{00000000-0005-0000-0000-00005F000000}"/>
    <cellStyle name="Normal 3" xfId="94" xr:uid="{00000000-0005-0000-0000-000060000000}"/>
    <cellStyle name="Normal 4" xfId="95" xr:uid="{00000000-0005-0000-0000-000061000000}"/>
    <cellStyle name="Normal 5" xfId="96" xr:uid="{00000000-0005-0000-0000-000062000000}"/>
    <cellStyle name="Normal 6" xfId="97" xr:uid="{00000000-0005-0000-0000-000063000000}"/>
    <cellStyle name="Normal 7" xfId="98" xr:uid="{00000000-0005-0000-0000-000064000000}"/>
    <cellStyle name="Normal 8" xfId="112" xr:uid="{00000000-0005-0000-0000-000065000000}"/>
    <cellStyle name="Note 2" xfId="99" xr:uid="{00000000-0005-0000-0000-000066000000}"/>
    <cellStyle name="Note 2 2" xfId="100" xr:uid="{00000000-0005-0000-0000-000067000000}"/>
    <cellStyle name="Output" xfId="101" builtinId="21" customBuiltin="1"/>
    <cellStyle name="Output 2" xfId="102" xr:uid="{00000000-0005-0000-0000-000069000000}"/>
    <cellStyle name="Percent" xfId="103" builtinId="5"/>
    <cellStyle name="Title" xfId="104" builtinId="15" customBuiltin="1"/>
    <cellStyle name="Title 2" xfId="105" xr:uid="{00000000-0005-0000-0000-00006C000000}"/>
    <cellStyle name="Total" xfId="106" builtinId="25" customBuiltin="1"/>
    <cellStyle name="Total 2" xfId="107" xr:uid="{00000000-0005-0000-0000-00006E000000}"/>
    <cellStyle name="Total 3" xfId="108" xr:uid="{00000000-0005-0000-0000-00006F000000}"/>
    <cellStyle name="Warning Text" xfId="109" builtinId="11" customBuiltin="1"/>
    <cellStyle name="Warning Text 2" xfId="110" xr:uid="{00000000-0005-0000-0000-000071000000}"/>
  </cellStyles>
  <dxfs count="8">
    <dxf>
      <font>
        <color theme="0"/>
      </font>
    </dxf>
    <dxf>
      <font>
        <color theme="0"/>
      </font>
    </dxf>
    <dxf>
      <font>
        <color theme="0"/>
      </font>
    </dxf>
    <dxf>
      <font>
        <color theme="0"/>
      </font>
    </dxf>
    <dxf>
      <fill>
        <patternFill>
          <bgColor indexed="45"/>
        </patternFill>
      </fill>
    </dxf>
    <dxf>
      <fill>
        <patternFill>
          <bgColor indexed="42"/>
        </patternFill>
      </fill>
    </dxf>
    <dxf>
      <fill>
        <patternFill>
          <bgColor indexed="45"/>
        </patternFill>
      </fill>
    </dxf>
    <dxf>
      <fill>
        <patternFill>
          <bgColor indexed="42"/>
        </patternFill>
      </fill>
    </dxf>
  </dxfs>
  <tableStyles count="0" defaultTableStyle="TableStyleMedium9" defaultPivotStyle="PivotStyleLight16"/>
  <colors>
    <mruColors>
      <color rgb="FFFFFF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activeX/activeX3.xml><?xml version="1.0" encoding="utf-8"?>
<ax:ocx xmlns:ax="http://schemas.microsoft.com/office/2006/activeX" xmlns:r="http://schemas.openxmlformats.org/officeDocument/2006/relationships" ax:classid="{5512D11C-5CC6-11CF-8D67-00AA00BDCE1D}" ax:persistence="persistStream" r:id="rI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13</xdr:col>
      <xdr:colOff>0</xdr:colOff>
      <xdr:row>17</xdr:row>
      <xdr:rowOff>0</xdr:rowOff>
    </xdr:from>
    <xdr:to>
      <xdr:col>13</xdr:col>
      <xdr:colOff>190500</xdr:colOff>
      <xdr:row>17</xdr:row>
      <xdr:rowOff>142875</xdr:rowOff>
    </xdr:to>
    <xdr:pic>
      <xdr:nvPicPr>
        <xdr:cNvPr id="8208" name="Picture 1" hidden="1">
          <a:extLst>
            <a:ext uri="{FF2B5EF4-FFF2-40B4-BE49-F238E27FC236}">
              <a16:creationId xmlns:a16="http://schemas.microsoft.com/office/drawing/2014/main" id="{00000000-0008-0000-0E00-0000102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63100" y="27622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17</xdr:row>
      <xdr:rowOff>0</xdr:rowOff>
    </xdr:from>
    <xdr:to>
      <xdr:col>13</xdr:col>
      <xdr:colOff>190500</xdr:colOff>
      <xdr:row>17</xdr:row>
      <xdr:rowOff>142875</xdr:rowOff>
    </xdr:to>
    <xdr:pic>
      <xdr:nvPicPr>
        <xdr:cNvPr id="8209" name="Picture 2" hidden="1">
          <a:extLst>
            <a:ext uri="{FF2B5EF4-FFF2-40B4-BE49-F238E27FC236}">
              <a16:creationId xmlns:a16="http://schemas.microsoft.com/office/drawing/2014/main" id="{00000000-0008-0000-0E00-0000112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63100" y="27622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13</xdr:col>
          <xdr:colOff>0</xdr:colOff>
          <xdr:row>16</xdr:row>
          <xdr:rowOff>133350</xdr:rowOff>
        </xdr:from>
        <xdr:to>
          <xdr:col>14</xdr:col>
          <xdr:colOff>590550</xdr:colOff>
          <xdr:row>18</xdr:row>
          <xdr:rowOff>38100</xdr:rowOff>
        </xdr:to>
        <xdr:sp macro="" textlink="">
          <xdr:nvSpPr>
            <xdr:cNvPr id="8195" name="Control 3" hidden="1">
              <a:extLst>
                <a:ext uri="{63B3BB69-23CF-44E3-9099-C40C66FF867C}">
                  <a14:compatExt spid="_x0000_s8195"/>
                </a:ext>
                <a:ext uri="{FF2B5EF4-FFF2-40B4-BE49-F238E27FC236}">
                  <a16:creationId xmlns:a16="http://schemas.microsoft.com/office/drawing/2014/main" id="{00000000-0008-0000-0E00-000003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18</xdr:row>
          <xdr:rowOff>133350</xdr:rowOff>
        </xdr:from>
        <xdr:to>
          <xdr:col>14</xdr:col>
          <xdr:colOff>914400</xdr:colOff>
          <xdr:row>20</xdr:row>
          <xdr:rowOff>38100</xdr:rowOff>
        </xdr:to>
        <xdr:sp macro="" textlink="">
          <xdr:nvSpPr>
            <xdr:cNvPr id="8196" name="Control 4" hidden="1">
              <a:extLst>
                <a:ext uri="{63B3BB69-23CF-44E3-9099-C40C66FF867C}">
                  <a14:compatExt spid="_x0000_s8196"/>
                </a:ext>
                <a:ext uri="{FF2B5EF4-FFF2-40B4-BE49-F238E27FC236}">
                  <a16:creationId xmlns:a16="http://schemas.microsoft.com/office/drawing/2014/main" id="{00000000-0008-0000-0E00-000004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18</xdr:row>
          <xdr:rowOff>133350</xdr:rowOff>
        </xdr:from>
        <xdr:to>
          <xdr:col>14</xdr:col>
          <xdr:colOff>914400</xdr:colOff>
          <xdr:row>20</xdr:row>
          <xdr:rowOff>38100</xdr:rowOff>
        </xdr:to>
        <xdr:sp macro="" textlink="">
          <xdr:nvSpPr>
            <xdr:cNvPr id="8197" name="Control 5" hidden="1">
              <a:extLst>
                <a:ext uri="{63B3BB69-23CF-44E3-9099-C40C66FF867C}">
                  <a14:compatExt spid="_x0000_s8197"/>
                </a:ext>
                <a:ext uri="{FF2B5EF4-FFF2-40B4-BE49-F238E27FC236}">
                  <a16:creationId xmlns:a16="http://schemas.microsoft.com/office/drawing/2014/main" id="{00000000-0008-0000-0E00-000005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1143000</xdr:colOff>
      <xdr:row>2</xdr:row>
      <xdr:rowOff>0</xdr:rowOff>
    </xdr:to>
    <xdr:pic>
      <xdr:nvPicPr>
        <xdr:cNvPr id="2" name="Picture 1" descr="Picture">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1143000" cy="190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3.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 Id="rId9" Type="http://schemas.openxmlformats.org/officeDocument/2006/relationships/comments" Target="../comments5.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2:E30"/>
  <sheetViews>
    <sheetView workbookViewId="0">
      <selection activeCell="N15" sqref="N14:N15"/>
    </sheetView>
  </sheetViews>
  <sheetFormatPr defaultRowHeight="12.75"/>
  <sheetData>
    <row r="2" spans="1:5">
      <c r="A2" s="145" t="s">
        <v>0</v>
      </c>
    </row>
    <row r="4" spans="1:5" ht="15">
      <c r="A4" s="381" t="s">
        <v>1</v>
      </c>
      <c r="B4" s="382"/>
    </row>
    <row r="5" spans="1:5" ht="15">
      <c r="A5" s="234" t="s">
        <v>2</v>
      </c>
    </row>
    <row r="6" spans="1:5" ht="15">
      <c r="A6" s="234"/>
    </row>
    <row r="7" spans="1:5" ht="15">
      <c r="A7" s="234"/>
    </row>
    <row r="8" spans="1:5" ht="15">
      <c r="A8" s="383" t="s">
        <v>3</v>
      </c>
      <c r="B8" s="384"/>
      <c r="C8" s="384"/>
      <c r="D8" s="384"/>
      <c r="E8" s="384"/>
    </row>
    <row r="9" spans="1:5" ht="15">
      <c r="A9" s="234" t="s">
        <v>4</v>
      </c>
      <c r="B9" s="235"/>
    </row>
    <row r="10" spans="1:5" ht="15">
      <c r="A10" s="234" t="s">
        <v>5</v>
      </c>
      <c r="B10" s="235"/>
    </row>
    <row r="11" spans="1:5" ht="15">
      <c r="A11" s="234" t="s">
        <v>6</v>
      </c>
      <c r="B11" s="235"/>
    </row>
    <row r="12" spans="1:5" ht="15">
      <c r="A12" s="234"/>
      <c r="B12" s="235"/>
    </row>
    <row r="13" spans="1:5" ht="15">
      <c r="A13" s="235"/>
    </row>
    <row r="14" spans="1:5" ht="15">
      <c r="A14" s="385" t="s">
        <v>7</v>
      </c>
      <c r="B14" s="386"/>
      <c r="C14" s="386"/>
      <c r="D14" s="386"/>
    </row>
    <row r="15" spans="1:5" ht="15">
      <c r="A15" s="234" t="s">
        <v>8</v>
      </c>
    </row>
    <row r="16" spans="1:5" ht="15">
      <c r="A16" s="234"/>
    </row>
    <row r="17" spans="1:2" ht="15">
      <c r="A17" s="234" t="s">
        <v>9</v>
      </c>
    </row>
    <row r="18" spans="1:2" ht="15">
      <c r="A18" s="234" t="s">
        <v>10</v>
      </c>
    </row>
    <row r="19" spans="1:2" ht="15">
      <c r="A19" s="235"/>
    </row>
    <row r="20" spans="1:2" ht="15">
      <c r="A20" s="235"/>
    </row>
    <row r="21" spans="1:2" ht="15">
      <c r="A21" s="387" t="s">
        <v>11</v>
      </c>
      <c r="B21" s="388"/>
    </row>
    <row r="22" spans="1:2" ht="15">
      <c r="A22" s="234" t="s">
        <v>12</v>
      </c>
    </row>
    <row r="23" spans="1:2" ht="15">
      <c r="A23" s="234"/>
    </row>
    <row r="24" spans="1:2" ht="15">
      <c r="A24" s="234"/>
    </row>
    <row r="25" spans="1:2" ht="15">
      <c r="A25" s="389" t="s">
        <v>13</v>
      </c>
      <c r="B25" s="390"/>
    </row>
    <row r="26" spans="1:2" ht="15">
      <c r="A26" s="234" t="s">
        <v>14</v>
      </c>
    </row>
    <row r="27" spans="1:2" ht="15">
      <c r="A27" s="234" t="s">
        <v>15</v>
      </c>
    </row>
    <row r="30" spans="1:2">
      <c r="A30" s="145" t="s">
        <v>16</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499984740745262"/>
    <pageSetUpPr fitToPage="1"/>
  </sheetPr>
  <dimension ref="A1:K32"/>
  <sheetViews>
    <sheetView workbookViewId="0">
      <selection activeCell="A282" sqref="A282"/>
    </sheetView>
  </sheetViews>
  <sheetFormatPr defaultRowHeight="12.75"/>
  <cols>
    <col min="1" max="1" width="15" customWidth="1"/>
    <col min="2" max="2" width="38.28515625" customWidth="1"/>
    <col min="3" max="3" width="42.140625" customWidth="1"/>
    <col min="5" max="5" width="11.28515625" customWidth="1"/>
  </cols>
  <sheetData>
    <row r="1" spans="1:11" ht="18.75">
      <c r="A1" s="413" t="s">
        <v>730</v>
      </c>
      <c r="B1" s="155"/>
      <c r="C1" s="155"/>
      <c r="D1" s="155"/>
    </row>
    <row r="2" spans="1:11" ht="38.25">
      <c r="A2" s="156" t="s">
        <v>731</v>
      </c>
      <c r="B2" s="157" t="s">
        <v>732</v>
      </c>
      <c r="C2" s="156" t="s">
        <v>733</v>
      </c>
      <c r="D2" s="156" t="s">
        <v>734</v>
      </c>
      <c r="E2" s="102" t="s">
        <v>735</v>
      </c>
      <c r="F2" s="131"/>
      <c r="G2" s="162"/>
      <c r="H2" s="162"/>
      <c r="I2" s="162"/>
    </row>
    <row r="3" spans="1:11" ht="12.95" customHeight="1">
      <c r="A3" s="156"/>
      <c r="B3" s="157"/>
      <c r="C3" s="156"/>
      <c r="D3" s="156"/>
      <c r="E3" s="102"/>
      <c r="F3" s="131"/>
      <c r="G3" s="162"/>
      <c r="H3" s="162"/>
      <c r="I3" s="162"/>
    </row>
    <row r="4" spans="1:11" ht="132.94999999999999" customHeight="1">
      <c r="A4" s="158" t="s">
        <v>736</v>
      </c>
      <c r="B4" s="158" t="s">
        <v>737</v>
      </c>
      <c r="C4" s="158" t="s">
        <v>738</v>
      </c>
      <c r="D4" s="159" t="s">
        <v>739</v>
      </c>
      <c r="E4" s="414">
        <v>14</v>
      </c>
    </row>
    <row r="5" spans="1:11" ht="141" customHeight="1">
      <c r="A5" s="158" t="s">
        <v>740</v>
      </c>
      <c r="B5" s="158" t="s">
        <v>741</v>
      </c>
      <c r="C5" s="158" t="s">
        <v>742</v>
      </c>
      <c r="D5" s="149" t="s">
        <v>743</v>
      </c>
      <c r="E5" s="414">
        <v>15</v>
      </c>
    </row>
    <row r="6" spans="1:11" ht="138.94999999999999" customHeight="1">
      <c r="A6" s="158" t="s">
        <v>744</v>
      </c>
      <c r="B6" s="158" t="s">
        <v>745</v>
      </c>
      <c r="C6" s="158" t="s">
        <v>746</v>
      </c>
      <c r="D6" s="149" t="s">
        <v>747</v>
      </c>
      <c r="E6" s="414">
        <v>16</v>
      </c>
      <c r="H6" s="152"/>
      <c r="I6" s="152"/>
      <c r="J6" s="152"/>
      <c r="K6" s="152"/>
    </row>
    <row r="7" spans="1:11" ht="101.45" customHeight="1">
      <c r="A7" s="158" t="s">
        <v>748</v>
      </c>
      <c r="B7" s="158" t="s">
        <v>749</v>
      </c>
      <c r="C7" s="158" t="s">
        <v>750</v>
      </c>
      <c r="D7" s="149" t="s">
        <v>751</v>
      </c>
      <c r="E7" s="414">
        <v>17</v>
      </c>
      <c r="H7" s="152"/>
      <c r="I7" s="152"/>
      <c r="J7" s="152"/>
      <c r="K7" s="152"/>
    </row>
    <row r="8" spans="1:11" ht="103.5" customHeight="1">
      <c r="A8" s="158" t="s">
        <v>752</v>
      </c>
      <c r="B8" s="158" t="s">
        <v>753</v>
      </c>
      <c r="C8" s="158" t="s">
        <v>754</v>
      </c>
      <c r="D8" s="149" t="s">
        <v>755</v>
      </c>
      <c r="E8" s="415">
        <v>18</v>
      </c>
    </row>
    <row r="9" spans="1:11" ht="15" customHeight="1">
      <c r="A9" s="160" t="s">
        <v>756</v>
      </c>
      <c r="B9" s="161"/>
    </row>
    <row r="10" spans="1:11" ht="15" customHeight="1"/>
    <row r="11" spans="1:11" ht="15" customHeight="1"/>
    <row r="12" spans="1:11" ht="15" customHeight="1"/>
    <row r="13" spans="1:11" ht="15" customHeight="1"/>
    <row r="14" spans="1:11" ht="15" customHeight="1"/>
    <row r="15" spans="1:11" ht="15" customHeight="1"/>
    <row r="16" spans="1:11"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sheetData>
  <pageMargins left="0.25" right="0.25" top="0.75" bottom="0.75" header="0.3" footer="0.3"/>
  <pageSetup scale="89" fitToHeight="0" orientation="portrait" verticalDpi="0"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499984740745262"/>
  </sheetPr>
  <dimension ref="A1:J30"/>
  <sheetViews>
    <sheetView workbookViewId="0">
      <selection activeCell="H18" sqref="H18"/>
    </sheetView>
  </sheetViews>
  <sheetFormatPr defaultRowHeight="12.75"/>
  <cols>
    <col min="1" max="1" width="62.28515625" customWidth="1"/>
    <col min="2" max="2" width="11" customWidth="1"/>
    <col min="3" max="3" width="10.28515625" customWidth="1"/>
    <col min="4" max="4" width="12.7109375" customWidth="1"/>
  </cols>
  <sheetData>
    <row r="1" spans="1:10" ht="25.5">
      <c r="A1" s="310" t="s">
        <v>757</v>
      </c>
      <c r="B1" s="311" t="s">
        <v>758</v>
      </c>
      <c r="C1" s="311" t="s">
        <v>759</v>
      </c>
      <c r="D1" s="310"/>
    </row>
    <row r="2" spans="1:10" ht="15.75">
      <c r="A2" s="312" t="s">
        <v>760</v>
      </c>
      <c r="B2" s="438" t="s">
        <v>761</v>
      </c>
      <c r="C2" s="438">
        <v>2</v>
      </c>
      <c r="D2" s="324">
        <f>IF($B$2="PC",(1500*C2),IF($B$2="MAC",(2000*C2),""))</f>
        <v>3000</v>
      </c>
    </row>
    <row r="3" spans="1:10" ht="15.95" customHeight="1">
      <c r="A3" s="312" t="s">
        <v>762</v>
      </c>
      <c r="B3" s="312"/>
      <c r="C3" s="312"/>
      <c r="D3" s="322"/>
      <c r="G3" s="152"/>
      <c r="H3" s="152"/>
      <c r="I3" s="152"/>
      <c r="J3" s="152"/>
    </row>
    <row r="4" spans="1:10" ht="15.95" customHeight="1">
      <c r="A4" s="312" t="s">
        <v>763</v>
      </c>
      <c r="B4" s="312"/>
      <c r="C4" s="312"/>
      <c r="D4" s="322">
        <v>0</v>
      </c>
      <c r="E4" s="86"/>
      <c r="G4" s="152"/>
      <c r="H4" s="152"/>
      <c r="I4" s="152"/>
      <c r="J4" s="152"/>
    </row>
    <row r="5" spans="1:10" ht="15.75">
      <c r="A5" s="312" t="s">
        <v>764</v>
      </c>
      <c r="B5" s="312"/>
      <c r="C5" s="312"/>
      <c r="D5" s="322">
        <v>0</v>
      </c>
    </row>
    <row r="6" spans="1:10" ht="15.75">
      <c r="A6" s="312" t="s">
        <v>765</v>
      </c>
      <c r="B6" s="312"/>
      <c r="C6" s="312"/>
      <c r="D6" s="322">
        <v>1</v>
      </c>
      <c r="E6" s="86"/>
    </row>
    <row r="7" spans="1:10" ht="18">
      <c r="A7" s="312" t="s">
        <v>766</v>
      </c>
      <c r="B7" s="312"/>
      <c r="C7" s="312"/>
      <c r="D7" s="323">
        <v>1</v>
      </c>
    </row>
    <row r="8" spans="1:10" ht="15.75">
      <c r="A8" s="312" t="s">
        <v>767</v>
      </c>
      <c r="B8" s="312"/>
      <c r="C8" s="312"/>
      <c r="D8" s="324">
        <f>SUM(D2:D7)</f>
        <v>3002</v>
      </c>
    </row>
    <row r="9" spans="1:10" ht="15.75">
      <c r="A9" s="313"/>
      <c r="B9" s="313"/>
      <c r="C9" s="313"/>
      <c r="D9" s="314"/>
    </row>
    <row r="10" spans="1:10" ht="18.75">
      <c r="A10" s="310" t="s">
        <v>768</v>
      </c>
      <c r="B10" s="310"/>
      <c r="C10" s="310"/>
      <c r="D10" s="315"/>
    </row>
    <row r="11" spans="1:10" ht="15.75">
      <c r="A11" s="312" t="s">
        <v>769</v>
      </c>
      <c r="B11" s="312"/>
      <c r="C11" s="312"/>
      <c r="D11" s="325">
        <f>IF(D2="","",3)</f>
        <v>3</v>
      </c>
      <c r="E11" s="130"/>
    </row>
    <row r="12" spans="1:10" ht="15.75">
      <c r="A12" s="312" t="s">
        <v>770</v>
      </c>
      <c r="B12" s="312"/>
      <c r="C12" s="312"/>
      <c r="D12" s="325">
        <f>IF($D$2="","",((180000/6000)*$C$2))</f>
        <v>60</v>
      </c>
      <c r="E12" s="130"/>
    </row>
    <row r="13" spans="1:10" ht="18">
      <c r="A13" s="312" t="s">
        <v>771</v>
      </c>
      <c r="B13" s="312"/>
      <c r="C13" s="312"/>
      <c r="D13" s="326">
        <f>IF($D$2="",0,(($D$2*0.1)*$D$11))</f>
        <v>900</v>
      </c>
    </row>
    <row r="14" spans="1:10" ht="15.75">
      <c r="A14" s="312"/>
      <c r="B14" s="312"/>
      <c r="C14" s="312"/>
      <c r="D14" s="327">
        <f>SUM(D12:D13)</f>
        <v>960</v>
      </c>
      <c r="E14" s="130"/>
    </row>
    <row r="15" spans="1:10" ht="18.75">
      <c r="A15" s="310" t="s">
        <v>772</v>
      </c>
      <c r="B15" s="312"/>
      <c r="C15" s="312"/>
      <c r="D15" s="316"/>
      <c r="E15" s="130"/>
    </row>
    <row r="16" spans="1:10" ht="15.75">
      <c r="A16" s="312" t="s">
        <v>773</v>
      </c>
      <c r="B16" s="312"/>
      <c r="C16" s="312"/>
      <c r="D16" s="322"/>
      <c r="E16" s="130"/>
    </row>
    <row r="17" spans="1:4" ht="15.75">
      <c r="A17" s="312" t="s">
        <v>770</v>
      </c>
      <c r="B17" s="312"/>
      <c r="C17" s="312"/>
      <c r="D17" s="328">
        <f>IF(D16=0,0,(180000/6000))</f>
        <v>0</v>
      </c>
    </row>
    <row r="18" spans="1:4" ht="18">
      <c r="A18" s="312" t="s">
        <v>774</v>
      </c>
      <c r="B18" s="312"/>
      <c r="C18" s="312"/>
      <c r="D18" s="326">
        <f>IF(D3=0,0,(D3/D16))</f>
        <v>0</v>
      </c>
    </row>
    <row r="19" spans="1:4" ht="15.75">
      <c r="A19" s="312"/>
      <c r="B19" s="312"/>
      <c r="C19" s="312"/>
      <c r="D19" s="324">
        <f>(D16*D17)+D18</f>
        <v>0</v>
      </c>
    </row>
    <row r="20" spans="1:4" ht="18">
      <c r="A20" s="312"/>
      <c r="B20" s="312"/>
      <c r="C20" s="312"/>
      <c r="D20" s="317"/>
    </row>
    <row r="21" spans="1:4" ht="15.75">
      <c r="A21" s="312" t="s">
        <v>775</v>
      </c>
      <c r="B21" s="312"/>
      <c r="C21" s="312"/>
      <c r="D21" s="324">
        <f>D14+D19</f>
        <v>960</v>
      </c>
    </row>
    <row r="22" spans="1:4" ht="15.75">
      <c r="A22" s="318"/>
      <c r="B22" s="318"/>
      <c r="C22" s="318"/>
      <c r="D22" s="319"/>
    </row>
    <row r="23" spans="1:4" ht="18.75">
      <c r="A23" s="310" t="s">
        <v>776</v>
      </c>
      <c r="B23" s="310"/>
      <c r="C23" s="310"/>
      <c r="D23" s="315"/>
    </row>
    <row r="24" spans="1:4" ht="15.75">
      <c r="A24" s="312" t="s">
        <v>777</v>
      </c>
      <c r="B24" s="312"/>
      <c r="C24" s="312"/>
      <c r="D24" s="329">
        <f>D8+D21</f>
        <v>3962</v>
      </c>
    </row>
    <row r="25" spans="1:4">
      <c r="A25" s="320"/>
      <c r="B25" s="320"/>
      <c r="C25" s="320"/>
      <c r="D25" s="321"/>
    </row>
    <row r="26" spans="1:4">
      <c r="D26" s="54"/>
    </row>
    <row r="27" spans="1:4">
      <c r="D27" s="54"/>
    </row>
    <row r="28" spans="1:4">
      <c r="D28" s="54"/>
    </row>
    <row r="29" spans="1:4">
      <c r="D29" s="54"/>
    </row>
    <row r="30" spans="1:4">
      <c r="D30" s="54"/>
    </row>
  </sheetData>
  <sheetProtection algorithmName="SHA-512" hashValue="GnKcaJwjoGMHsFuR4RzljIYlqGhALnC6oKr1D6+qoqgEv6FtO8+UnkWQ+AeH+dNfkGLRyGIE8D2IROIktIqq0g==" saltValue="qbwPkmhqtFW2BxDpVA4xZA==" spinCount="100000" sheet="1" objects="1" scenarios="1"/>
  <dataValidations count="2">
    <dataValidation type="list" allowBlank="1" showInputMessage="1" showErrorMessage="1" sqref="B2" xr:uid="{00000000-0002-0000-0A00-000000000000}">
      <formula1>"N/A,PC, MAC"</formula1>
    </dataValidation>
    <dataValidation type="whole" allowBlank="1" showInputMessage="1" showErrorMessage="1" sqref="C2" xr:uid="{00000000-0002-0000-0A00-000001000000}">
      <formula1>0</formula1>
      <formula2>1000000</formula2>
    </dataValidation>
  </dataValidations>
  <pageMargins left="0.25" right="0.25"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499984740745262"/>
    <pageSetUpPr fitToPage="1"/>
  </sheetPr>
  <dimension ref="A1:R23"/>
  <sheetViews>
    <sheetView topLeftCell="A2" workbookViewId="0">
      <selection activeCell="P29" sqref="P29"/>
    </sheetView>
  </sheetViews>
  <sheetFormatPr defaultRowHeight="12.75"/>
  <cols>
    <col min="1" max="1" width="7.28515625" customWidth="1"/>
    <col min="2" max="2" width="10.7109375" customWidth="1"/>
    <col min="3" max="3" width="12.7109375" bestFit="1" customWidth="1"/>
    <col min="4" max="4" width="1.7109375" customWidth="1"/>
    <col min="5" max="5" width="12.7109375" bestFit="1" customWidth="1"/>
    <col min="6" max="6" width="12.85546875" bestFit="1" customWidth="1"/>
    <col min="7" max="7" width="11" customWidth="1"/>
    <col min="8" max="8" width="11.7109375" customWidth="1"/>
    <col min="9" max="9" width="1.7109375" customWidth="1"/>
    <col min="10" max="10" width="16.7109375" customWidth="1"/>
    <col min="11" max="11" width="16.140625" customWidth="1"/>
    <col min="12" max="12" width="12.28515625" customWidth="1"/>
    <col min="13" max="13" width="14" customWidth="1"/>
    <col min="14" max="14" width="1.7109375" customWidth="1"/>
    <col min="15" max="15" width="10" bestFit="1" customWidth="1"/>
    <col min="16" max="16" width="17.140625" customWidth="1"/>
    <col min="17" max="17" width="10.140625" customWidth="1"/>
    <col min="18" max="18" width="11.140625" customWidth="1"/>
  </cols>
  <sheetData>
    <row r="1" spans="1:18" ht="26.25">
      <c r="A1" s="330" t="s">
        <v>778</v>
      </c>
      <c r="B1" s="331"/>
      <c r="C1" s="331"/>
      <c r="D1" s="331"/>
      <c r="E1" s="449" t="s">
        <v>779</v>
      </c>
      <c r="F1" s="450"/>
      <c r="G1" s="450"/>
      <c r="H1" s="450"/>
      <c r="I1" s="450"/>
      <c r="J1" s="451"/>
      <c r="K1" s="451"/>
      <c r="L1" s="451"/>
      <c r="M1" s="451"/>
      <c r="N1" s="450"/>
      <c r="O1" s="450"/>
      <c r="P1" s="450"/>
      <c r="Q1" s="450"/>
      <c r="R1" s="320"/>
    </row>
    <row r="2" spans="1:18" ht="26.25">
      <c r="A2" s="333" t="s">
        <v>780</v>
      </c>
      <c r="B2" s="334"/>
      <c r="C2" s="331"/>
      <c r="D2" s="331"/>
      <c r="E2" s="331"/>
      <c r="F2" s="331"/>
      <c r="G2" s="331"/>
      <c r="H2" s="331"/>
      <c r="I2" s="331"/>
      <c r="J2" s="332"/>
      <c r="K2" s="332"/>
      <c r="L2" s="332"/>
      <c r="M2" s="332"/>
      <c r="N2" s="331"/>
      <c r="O2" s="331"/>
      <c r="P2" s="331"/>
      <c r="Q2" s="320"/>
      <c r="R2" s="320"/>
    </row>
    <row r="3" spans="1:18">
      <c r="A3" s="331"/>
      <c r="B3" s="331"/>
      <c r="C3" s="331"/>
      <c r="D3" s="331"/>
      <c r="E3" s="331"/>
      <c r="F3" s="331"/>
      <c r="G3" s="331"/>
      <c r="H3" s="331"/>
      <c r="I3" s="331"/>
      <c r="J3" s="331"/>
      <c r="K3" s="331"/>
      <c r="L3" s="331"/>
      <c r="M3" s="331"/>
      <c r="N3" s="331"/>
      <c r="O3" s="331"/>
      <c r="P3" s="331"/>
      <c r="Q3" s="320"/>
      <c r="R3" s="320"/>
    </row>
    <row r="4" spans="1:18">
      <c r="A4" s="331"/>
      <c r="B4" s="331"/>
      <c r="C4" s="331"/>
      <c r="D4" s="331"/>
      <c r="E4" s="331"/>
      <c r="F4" s="331"/>
      <c r="G4" s="331"/>
      <c r="H4" s="437"/>
      <c r="I4" s="331"/>
      <c r="J4" s="331"/>
      <c r="K4" s="331"/>
      <c r="L4" s="331"/>
      <c r="M4" s="437"/>
      <c r="N4" s="331"/>
      <c r="O4" s="331"/>
      <c r="P4" s="331"/>
      <c r="Q4" s="320"/>
      <c r="R4" s="320"/>
    </row>
    <row r="5" spans="1:18">
      <c r="A5" s="331"/>
      <c r="B5" s="331"/>
      <c r="C5" s="331"/>
      <c r="D5" s="331"/>
      <c r="E5" s="331"/>
      <c r="F5" s="331"/>
      <c r="G5" s="331"/>
      <c r="H5" s="331"/>
      <c r="I5" s="331"/>
      <c r="J5" s="331"/>
      <c r="K5" s="331"/>
      <c r="L5" s="331"/>
      <c r="M5" s="331"/>
      <c r="N5" s="331"/>
      <c r="O5" s="331"/>
      <c r="P5" s="331"/>
      <c r="Q5" s="320"/>
      <c r="R5" s="320"/>
    </row>
    <row r="6" spans="1:18">
      <c r="A6" s="331"/>
      <c r="B6" s="331"/>
      <c r="C6" s="331"/>
      <c r="D6" s="331"/>
      <c r="E6" s="331"/>
      <c r="F6" s="331"/>
      <c r="G6" s="331"/>
      <c r="H6" s="331"/>
      <c r="I6" s="331"/>
      <c r="J6" s="331"/>
      <c r="K6" s="331"/>
      <c r="L6" s="331"/>
      <c r="M6" s="331"/>
      <c r="N6" s="331"/>
      <c r="O6" s="331"/>
      <c r="P6" s="331"/>
      <c r="Q6" s="320"/>
      <c r="R6" s="320"/>
    </row>
    <row r="7" spans="1:18">
      <c r="A7" s="331"/>
      <c r="B7" s="331"/>
      <c r="C7" s="331"/>
      <c r="D7" s="331"/>
      <c r="E7" s="335">
        <v>5510</v>
      </c>
      <c r="F7" s="336"/>
      <c r="G7" s="336"/>
      <c r="H7" s="337"/>
      <c r="I7" s="338"/>
      <c r="J7" s="335">
        <v>5520</v>
      </c>
      <c r="K7" s="336"/>
      <c r="L7" s="336"/>
      <c r="M7" s="337"/>
      <c r="N7" s="338"/>
      <c r="O7" s="335">
        <v>5530</v>
      </c>
      <c r="P7" s="336"/>
      <c r="Q7" s="339"/>
      <c r="R7" s="340"/>
    </row>
    <row r="8" spans="1:18" ht="21">
      <c r="A8" s="341" t="s">
        <v>781</v>
      </c>
      <c r="B8" s="342" t="s">
        <v>782</v>
      </c>
      <c r="C8" s="342" t="s">
        <v>783</v>
      </c>
      <c r="D8" s="343"/>
      <c r="E8" s="344" t="s">
        <v>784</v>
      </c>
      <c r="F8" s="345" t="s">
        <v>785</v>
      </c>
      <c r="G8" s="345" t="s">
        <v>786</v>
      </c>
      <c r="H8" s="346" t="s">
        <v>787</v>
      </c>
      <c r="I8" s="338"/>
      <c r="J8" s="344" t="s">
        <v>788</v>
      </c>
      <c r="K8" s="345" t="s">
        <v>785</v>
      </c>
      <c r="L8" s="345" t="s">
        <v>786</v>
      </c>
      <c r="M8" s="346" t="s">
        <v>787</v>
      </c>
      <c r="N8" s="338"/>
      <c r="O8" s="344" t="s">
        <v>789</v>
      </c>
      <c r="P8" s="345" t="s">
        <v>785</v>
      </c>
      <c r="Q8" s="347" t="s">
        <v>786</v>
      </c>
      <c r="R8" s="348" t="s">
        <v>787</v>
      </c>
    </row>
    <row r="9" spans="1:18" ht="45">
      <c r="A9" s="349" t="s">
        <v>790</v>
      </c>
      <c r="B9" s="363">
        <f>'FUSION GSF BY LOCATION'!P24</f>
        <v>69840</v>
      </c>
      <c r="C9" s="363">
        <f>'bldg_summary All 4-14-21'!$G$201</f>
        <v>45580</v>
      </c>
      <c r="D9" s="350"/>
      <c r="E9" s="365">
        <f>SUMIFS('VFS Utilities - FY 1819'!$L$9:$L$37,'VFS Utilities - FY 1819'!$C$9:$C$37,"A",'VFS Utilities - FY 1819'!$H$9:$H$37,$E$7)</f>
        <v>4887.8100000000004</v>
      </c>
      <c r="F9" s="351" t="s">
        <v>791</v>
      </c>
      <c r="G9" s="373">
        <f>+E9/B9</f>
        <v>6.9985824742268041E-2</v>
      </c>
      <c r="H9" s="368">
        <f>+E9/C9</f>
        <v>0.10723584905660379</v>
      </c>
      <c r="I9" s="352"/>
      <c r="J9" s="365">
        <f>SUMIFS('VFS Utilities - FY 1819'!$L$9:$L$37,'VFS Utilities - FY 1819'!$C$9:$C$37,"A",'VFS Utilities - FY 1819'!$H$9:$H$37,$J$7)</f>
        <v>78310.930000000008</v>
      </c>
      <c r="K9" s="353" t="s">
        <v>792</v>
      </c>
      <c r="L9" s="373">
        <f>+J9/B9</f>
        <v>1.1212905211912945</v>
      </c>
      <c r="M9" s="368">
        <f>+J9/C9</f>
        <v>1.7180985081175957</v>
      </c>
      <c r="N9" s="352"/>
      <c r="O9" s="365">
        <f>SUMIFS('VFS Utilities - FY 1819'!$L$9:$L$37,'VFS Utilities - FY 1819'!$C$9:$C$37,"A",'VFS Utilities - FY 1819'!$H$9:$H$37,$O$7)</f>
        <v>9786.33</v>
      </c>
      <c r="P9" s="353" t="s">
        <v>793</v>
      </c>
      <c r="Q9" s="377">
        <f>+O9/B9</f>
        <v>0.140125</v>
      </c>
      <c r="R9" s="371">
        <f>+O9/C9</f>
        <v>0.21470666959192627</v>
      </c>
    </row>
    <row r="10" spans="1:18" ht="15">
      <c r="A10" s="349" t="s">
        <v>794</v>
      </c>
      <c r="B10" s="364">
        <f>'FUSION GSF BY LOCATION'!C94</f>
        <v>1426807</v>
      </c>
      <c r="C10" s="364">
        <f>'bldg_summary All 4-14-21'!$G$88</f>
        <v>1129</v>
      </c>
      <c r="D10" s="354"/>
      <c r="E10" s="366">
        <f>SUMIFS('VFS Utilities - FY 1819'!$L$9:$L$37,'VFS Utilities - FY 1819'!$C$9:$C$37,"D",'VFS Utilities - FY 1819'!$H$9:$H$37,$E$7)</f>
        <v>251488.79</v>
      </c>
      <c r="F10" s="355" t="s">
        <v>791</v>
      </c>
      <c r="G10" s="374">
        <f>+E10/B10</f>
        <v>0.17625985154264032</v>
      </c>
      <c r="H10" s="369">
        <f>+E10/C10</f>
        <v>222.75357838795395</v>
      </c>
      <c r="I10" s="356"/>
      <c r="J10" s="366">
        <f>SUMIFS('VFS Utilities - FY 1819'!$L$9:$L$37,'VFS Utilities - FY 1819'!$C$9:$C$37,"D",'VFS Utilities - FY 1819'!$H$9:$H$37,$J$7)</f>
        <v>1758971.1700000002</v>
      </c>
      <c r="K10" s="355" t="s">
        <v>795</v>
      </c>
      <c r="L10" s="374">
        <f>+J10/B10</f>
        <v>1.2328024533100834</v>
      </c>
      <c r="M10" s="369">
        <f>+J10/C10</f>
        <v>1557.9904074402127</v>
      </c>
      <c r="N10" s="356"/>
      <c r="O10" s="366">
        <f>SUMIFS('VFS Utilities - FY 1819'!$L$9:$L$37,'VFS Utilities - FY 1819'!$C$9:$C$37,"D",'VFS Utilities - FY 1819'!$H$9:$H$37,$O$7)</f>
        <v>262509.32999999996</v>
      </c>
      <c r="P10" s="355" t="s">
        <v>795</v>
      </c>
      <c r="Q10" s="378">
        <f>+O10/B10</f>
        <v>0.1839837693535285</v>
      </c>
      <c r="R10" s="372">
        <f>+O10/C10</f>
        <v>232.51490699734273</v>
      </c>
    </row>
    <row r="11" spans="1:18" ht="15">
      <c r="A11" s="349" t="s">
        <v>796</v>
      </c>
      <c r="B11" s="364">
        <f>'FUSION GSF BY LOCATION'!L45</f>
        <v>241134</v>
      </c>
      <c r="C11" s="364">
        <f>'bldg_summary All 4-14-21'!$G$189</f>
        <v>168920</v>
      </c>
      <c r="D11" s="354"/>
      <c r="E11" s="366">
        <f>SUMIFS('VFS Utilities - FY 1819'!$L$9:$L$37,'VFS Utilities - FY 1819'!$C$9:$C$37,"E",'VFS Utilities - FY 1819'!$H$9:$H$37,$E$7)</f>
        <v>217864.99</v>
      </c>
      <c r="F11" s="355" t="s">
        <v>791</v>
      </c>
      <c r="G11" s="374">
        <f>+E11/B11</f>
        <v>0.90350174591720778</v>
      </c>
      <c r="H11" s="369">
        <f>+E11/C11</f>
        <v>1.289752486384087</v>
      </c>
      <c r="I11" s="356"/>
      <c r="J11" s="366">
        <f>SUMIFS('VFS Utilities - FY 1819'!$L$9:$L$37,'VFS Utilities - FY 1819'!$C$9:$C$37,"E",'VFS Utilities - FY 1819'!$H$9:$H$37,$J$7)</f>
        <v>438057.37</v>
      </c>
      <c r="K11" s="355" t="s">
        <v>797</v>
      </c>
      <c r="L11" s="374">
        <f>+J11/B11</f>
        <v>1.8166553451607819</v>
      </c>
      <c r="M11" s="369">
        <f>+J11/C11</f>
        <v>2.5932830333885861</v>
      </c>
      <c r="N11" s="356"/>
      <c r="O11" s="366">
        <f>SUMIFS('VFS Utilities - FY 1819'!$L$9:$L$37,'VFS Utilities - FY 1819'!$C$9:$C$37,"E",'VFS Utilities - FY 1819'!$H$9:$H$37,$O$7)</f>
        <v>137575.49</v>
      </c>
      <c r="P11" s="355" t="s">
        <v>798</v>
      </c>
      <c r="Q11" s="378">
        <f>+O11/B11</f>
        <v>0.57053542843398275</v>
      </c>
      <c r="R11" s="372">
        <f>+O11/C11</f>
        <v>0.81444168837319431</v>
      </c>
    </row>
    <row r="12" spans="1:18" ht="15">
      <c r="A12" s="349" t="s">
        <v>799</v>
      </c>
      <c r="B12" s="364">
        <f>'FUSION GSF BY LOCATION'!H67</f>
        <v>317315</v>
      </c>
      <c r="C12" s="364">
        <f>'bldg_summary All 4-14-21'!$G$149</f>
        <v>3026</v>
      </c>
      <c r="D12" s="354"/>
      <c r="E12" s="367">
        <f>SUMIFS('VFS Utilities - FY 1819'!$L$9:$L$37,'VFS Utilities - FY 1819'!$C$9:$C$37,"F",'VFS Utilities - FY 1819'!$H$9:$H$37,$E$7)</f>
        <v>36649.619999999995</v>
      </c>
      <c r="F12" s="357" t="s">
        <v>791</v>
      </c>
      <c r="G12" s="375">
        <f>+E12/B12</f>
        <v>0.11549917274632461</v>
      </c>
      <c r="H12" s="370">
        <f>+E12/C12</f>
        <v>12.111573033707863</v>
      </c>
      <c r="I12" s="356"/>
      <c r="J12" s="367">
        <f>SUMIFS('VFS Utilities - FY 1819'!$L$9:$L$37,'VFS Utilities - FY 1819'!$C$9:$C$37,"F",'VFS Utilities - FY 1819'!$H$9:$H$37,$J$7)</f>
        <v>462909.35</v>
      </c>
      <c r="K12" s="357" t="s">
        <v>797</v>
      </c>
      <c r="L12" s="375">
        <f>+J12/B12</f>
        <v>1.4588322329546348</v>
      </c>
      <c r="M12" s="370">
        <f>+J12/C12</f>
        <v>152.97731328486449</v>
      </c>
      <c r="N12" s="356"/>
      <c r="O12" s="367">
        <f>SUMIFS('VFS Utilities - FY 1819'!$L$9:$L$37,'VFS Utilities - FY 1819'!$C$9:$C$37,"F",'VFS Utilities - FY 1819'!$H$9:$H$37,$O$7)</f>
        <v>74262.450000000012</v>
      </c>
      <c r="P12" s="357" t="s">
        <v>800</v>
      </c>
      <c r="Q12" s="379">
        <f>+O12/B12</f>
        <v>0.23403384649323231</v>
      </c>
      <c r="R12" s="372">
        <f>+O12/C12</f>
        <v>24.541457369464645</v>
      </c>
    </row>
    <row r="13" spans="1:18" ht="15">
      <c r="A13" s="331"/>
      <c r="B13" s="331"/>
      <c r="C13" s="331"/>
      <c r="D13" s="331"/>
      <c r="E13" s="331"/>
      <c r="F13" s="358" t="s">
        <v>801</v>
      </c>
      <c r="G13" s="376">
        <f>(G10+G11+G12)/3</f>
        <v>0.39842025673539089</v>
      </c>
      <c r="H13" s="358"/>
      <c r="I13" s="358"/>
      <c r="J13" s="331"/>
      <c r="K13" s="358" t="s">
        <v>801</v>
      </c>
      <c r="L13" s="376">
        <f>(L10+L11+L12)/3</f>
        <v>1.5027633438085</v>
      </c>
      <c r="M13" s="331"/>
      <c r="N13" s="358"/>
      <c r="O13" s="336"/>
      <c r="P13" s="358" t="s">
        <v>801</v>
      </c>
      <c r="Q13" s="380">
        <f>(Q10+Q11+Q12)/3</f>
        <v>0.32951768142691451</v>
      </c>
      <c r="R13" s="339"/>
    </row>
    <row r="14" spans="1:18">
      <c r="A14" s="331"/>
      <c r="B14" s="331"/>
      <c r="C14" s="331"/>
      <c r="D14" s="331"/>
      <c r="E14" s="331"/>
      <c r="F14" s="331"/>
      <c r="G14" s="331"/>
      <c r="H14" s="331"/>
      <c r="I14" s="331"/>
      <c r="J14" s="331"/>
      <c r="K14" s="331"/>
      <c r="L14" s="331"/>
      <c r="M14" s="331"/>
      <c r="N14" s="331"/>
      <c r="O14" s="331"/>
      <c r="P14" s="331"/>
      <c r="Q14" s="320"/>
      <c r="R14" s="320"/>
    </row>
    <row r="15" spans="1:18" ht="15">
      <c r="A15" s="359" t="s">
        <v>802</v>
      </c>
      <c r="B15" s="360" t="s">
        <v>803</v>
      </c>
      <c r="C15" s="334"/>
      <c r="D15" s="334"/>
      <c r="E15" s="334"/>
      <c r="F15" s="331"/>
      <c r="G15" s="331"/>
      <c r="H15" s="331"/>
      <c r="I15" s="331"/>
      <c r="J15" s="331"/>
      <c r="K15" s="331"/>
      <c r="L15" s="331"/>
      <c r="M15" s="331"/>
      <c r="N15" s="331"/>
      <c r="O15" s="331"/>
      <c r="P15" s="331"/>
      <c r="Q15" s="320"/>
      <c r="R15" s="320"/>
    </row>
    <row r="16" spans="1:18">
      <c r="A16" s="320"/>
      <c r="B16" s="320"/>
      <c r="C16" s="320"/>
      <c r="D16" s="320"/>
      <c r="E16" s="320"/>
      <c r="F16" s="320"/>
      <c r="G16" s="320"/>
      <c r="H16" s="447" t="s">
        <v>804</v>
      </c>
      <c r="I16" s="320"/>
      <c r="J16" s="320"/>
      <c r="K16" s="320"/>
      <c r="L16" s="320"/>
      <c r="M16" s="320"/>
      <c r="N16" s="320"/>
      <c r="O16" s="320"/>
      <c r="P16" s="320"/>
      <c r="Q16" s="320"/>
      <c r="R16" s="320"/>
    </row>
    <row r="17" spans="1:18" ht="15">
      <c r="A17" s="361" t="s">
        <v>805</v>
      </c>
      <c r="B17" s="361"/>
      <c r="C17" s="361"/>
      <c r="D17" s="320"/>
      <c r="E17" s="320"/>
      <c r="F17" s="320"/>
      <c r="G17" s="320"/>
      <c r="H17" s="528" t="s">
        <v>806</v>
      </c>
      <c r="I17" s="528"/>
      <c r="J17" s="528"/>
      <c r="K17" s="479" t="s">
        <v>807</v>
      </c>
      <c r="L17" s="528" t="s">
        <v>808</v>
      </c>
      <c r="M17" s="528"/>
      <c r="N17" s="320"/>
      <c r="O17" s="320"/>
      <c r="P17" s="320"/>
      <c r="Q17" s="320"/>
      <c r="R17" s="320"/>
    </row>
    <row r="18" spans="1:18" ht="15">
      <c r="A18" s="361" t="s">
        <v>809</v>
      </c>
      <c r="B18" s="361"/>
      <c r="C18" s="361"/>
      <c r="D18" s="320"/>
      <c r="E18" s="320"/>
      <c r="F18" s="320"/>
      <c r="G18" s="320"/>
      <c r="H18" s="528" t="s">
        <v>810</v>
      </c>
      <c r="I18" s="534"/>
      <c r="J18" s="534"/>
      <c r="K18" s="448">
        <v>2000</v>
      </c>
      <c r="L18" s="535">
        <f>K18*($G$13+$L$13+$Q$13)</f>
        <v>4461.4025639416113</v>
      </c>
      <c r="M18" s="535"/>
      <c r="N18" s="320"/>
      <c r="O18" s="320"/>
      <c r="P18" s="320"/>
      <c r="Q18" s="320"/>
      <c r="R18" s="320"/>
    </row>
    <row r="19" spans="1:18">
      <c r="A19" s="320"/>
      <c r="B19" s="320"/>
      <c r="C19" s="320"/>
      <c r="D19" s="320"/>
      <c r="E19" s="320"/>
      <c r="F19" s="320"/>
      <c r="G19" s="320"/>
      <c r="H19" s="534"/>
      <c r="I19" s="534"/>
      <c r="J19" s="534"/>
      <c r="K19" s="362"/>
      <c r="L19" s="533">
        <f>K19*($G$13+$L$13+$Q$13)</f>
        <v>0</v>
      </c>
      <c r="M19" s="533"/>
      <c r="N19" s="320"/>
      <c r="O19" s="320"/>
      <c r="P19" s="320"/>
      <c r="Q19" s="320"/>
      <c r="R19" s="320"/>
    </row>
    <row r="20" spans="1:18">
      <c r="A20" s="320"/>
      <c r="B20" s="320"/>
      <c r="C20" s="320"/>
      <c r="D20" s="320"/>
      <c r="E20" s="320"/>
      <c r="F20" s="320"/>
      <c r="G20" s="320"/>
      <c r="H20" s="534"/>
      <c r="I20" s="534"/>
      <c r="J20" s="534"/>
      <c r="K20" s="362"/>
      <c r="L20" s="533">
        <f>K20*($G$13+$L$13+$Q$13)</f>
        <v>0</v>
      </c>
      <c r="M20" s="533"/>
      <c r="N20" s="320"/>
      <c r="O20" s="320"/>
      <c r="P20" s="320"/>
      <c r="Q20" s="320"/>
      <c r="R20" s="320"/>
    </row>
    <row r="21" spans="1:18">
      <c r="A21" s="320"/>
      <c r="B21" s="320"/>
      <c r="C21" s="320"/>
      <c r="D21" s="320"/>
      <c r="E21" s="320"/>
      <c r="F21" s="320"/>
      <c r="G21" s="320"/>
      <c r="H21" s="534"/>
      <c r="I21" s="534"/>
      <c r="J21" s="534"/>
      <c r="K21" s="362"/>
      <c r="L21" s="533">
        <f>K21*($G$13+$L$13+$Q$13)</f>
        <v>0</v>
      </c>
      <c r="M21" s="533"/>
      <c r="N21" s="320"/>
      <c r="O21" s="320"/>
      <c r="P21" s="320"/>
      <c r="Q21" s="320"/>
      <c r="R21" s="320"/>
    </row>
    <row r="22" spans="1:18">
      <c r="A22" s="320"/>
      <c r="B22" s="320"/>
      <c r="C22" s="320"/>
      <c r="D22" s="320"/>
      <c r="E22" s="320"/>
      <c r="F22" s="320"/>
      <c r="G22" s="320"/>
      <c r="H22" s="534"/>
      <c r="I22" s="534"/>
      <c r="J22" s="534"/>
      <c r="K22" s="362"/>
      <c r="L22" s="533">
        <f>K22*($G$13+$L$13+$Q$13)</f>
        <v>0</v>
      </c>
      <c r="M22" s="533"/>
      <c r="N22" s="320"/>
      <c r="O22" s="320"/>
      <c r="P22" s="320"/>
      <c r="Q22" s="320"/>
      <c r="R22" s="320"/>
    </row>
    <row r="23" spans="1:18">
      <c r="A23" s="320"/>
      <c r="B23" s="320"/>
      <c r="C23" s="320"/>
      <c r="D23" s="320"/>
      <c r="E23" s="320"/>
      <c r="F23" s="320"/>
      <c r="G23" s="320"/>
      <c r="H23" s="530" t="s">
        <v>23</v>
      </c>
      <c r="I23" s="531"/>
      <c r="J23" s="531"/>
      <c r="K23" s="532"/>
      <c r="L23" s="529">
        <f>SUM(L18:M22)</f>
        <v>4461.4025639416113</v>
      </c>
      <c r="M23" s="529"/>
      <c r="N23" s="320"/>
      <c r="O23" s="320"/>
      <c r="P23" s="320"/>
      <c r="Q23" s="320"/>
      <c r="R23" s="320"/>
    </row>
  </sheetData>
  <sheetProtection algorithmName="SHA-512" hashValue="3Kwx2Dou8MuvqSoZ2ORL8Ty99KfznqAmX3HEWf34KfBEbrlujznd10c4hFodYOBKcwiFTwonmFzMoRP+/iUcmQ==" saltValue="UeUc1p+dTAYoalz2oilJQw==" spinCount="100000" sheet="1" objects="1" scenarios="1"/>
  <mergeCells count="14">
    <mergeCell ref="H17:J17"/>
    <mergeCell ref="L23:M23"/>
    <mergeCell ref="H23:K23"/>
    <mergeCell ref="L22:M22"/>
    <mergeCell ref="H22:J22"/>
    <mergeCell ref="L17:M17"/>
    <mergeCell ref="H18:J18"/>
    <mergeCell ref="H19:J19"/>
    <mergeCell ref="H20:J20"/>
    <mergeCell ref="H21:J21"/>
    <mergeCell ref="L18:M18"/>
    <mergeCell ref="L19:M19"/>
    <mergeCell ref="L20:M20"/>
    <mergeCell ref="L21:M21"/>
  </mergeCells>
  <dataValidations count="1">
    <dataValidation allowBlank="1" showInputMessage="1" showErrorMessage="1" prompt="enter square footage" sqref="K18" xr:uid="{00000000-0002-0000-0B00-000000000000}"/>
  </dataValidations>
  <pageMargins left="0.17" right="0.17" top="0.75" bottom="0.75" header="0.3" footer="0.3"/>
  <pageSetup scale="72"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499984740745262"/>
    <pageSetUpPr fitToPage="1"/>
  </sheetPr>
  <dimension ref="A1:W35"/>
  <sheetViews>
    <sheetView workbookViewId="0">
      <pane ySplit="6" topLeftCell="A7" activePane="bottomLeft" state="frozen"/>
      <selection pane="bottomLeft" activeCell="AB17" sqref="AB17"/>
      <selection activeCell="D14" sqref="D14"/>
    </sheetView>
  </sheetViews>
  <sheetFormatPr defaultRowHeight="12.75"/>
  <cols>
    <col min="1" max="1" width="1.28515625" customWidth="1"/>
    <col min="2" max="2" width="3.28515625" customWidth="1"/>
    <col min="3" max="3" width="37.7109375" customWidth="1"/>
    <col min="4" max="4" width="1.7109375" customWidth="1"/>
    <col min="5" max="6" width="9.7109375" customWidth="1"/>
    <col min="7" max="7" width="41.7109375" customWidth="1"/>
    <col min="8" max="8" width="2.7109375" customWidth="1"/>
    <col min="9" max="9" width="10.7109375" hidden="1" customWidth="1"/>
    <col min="10" max="11" width="8.7109375" hidden="1" customWidth="1"/>
    <col min="12" max="12" width="1.7109375" hidden="1" customWidth="1"/>
    <col min="13" max="15" width="8.7109375" hidden="1" customWidth="1"/>
    <col min="16" max="16" width="1.7109375" customWidth="1"/>
    <col min="17" max="19" width="8.7109375" customWidth="1"/>
    <col min="22" max="24" width="0" hidden="1" customWidth="1"/>
  </cols>
  <sheetData>
    <row r="1" spans="1:21" s="2" customFormat="1" ht="14.25">
      <c r="B1" s="537" t="s">
        <v>811</v>
      </c>
      <c r="C1" s="537"/>
      <c r="D1" s="537"/>
      <c r="E1" s="537"/>
      <c r="F1" s="537"/>
      <c r="G1" s="537"/>
      <c r="H1" s="537"/>
      <c r="I1" s="537"/>
      <c r="J1" s="537"/>
      <c r="K1" s="537"/>
      <c r="L1" s="537"/>
      <c r="M1" s="537"/>
      <c r="N1" s="537"/>
      <c r="O1" s="537"/>
      <c r="P1" s="537"/>
      <c r="Q1" s="537"/>
      <c r="R1" s="537"/>
      <c r="S1" s="537"/>
    </row>
    <row r="2" spans="1:21" s="2" customFormat="1" ht="14.25">
      <c r="B2" s="537" t="s">
        <v>812</v>
      </c>
      <c r="C2" s="537"/>
      <c r="D2" s="537"/>
      <c r="E2" s="537"/>
      <c r="F2" s="537"/>
      <c r="G2" s="537"/>
      <c r="H2" s="537"/>
      <c r="I2" s="537"/>
      <c r="J2" s="537"/>
      <c r="K2" s="537"/>
      <c r="L2" s="537"/>
      <c r="M2" s="537"/>
      <c r="N2" s="537"/>
      <c r="O2" s="537"/>
      <c r="P2" s="537"/>
      <c r="Q2" s="537"/>
      <c r="R2" s="537"/>
      <c r="S2" s="537"/>
    </row>
    <row r="3" spans="1:21" s="2" customFormat="1" ht="15" thickBot="1">
      <c r="B3" s="538" t="s">
        <v>813</v>
      </c>
      <c r="C3" s="538"/>
      <c r="D3" s="538"/>
      <c r="E3" s="538"/>
      <c r="F3" s="538"/>
      <c r="G3" s="538"/>
      <c r="H3" s="538"/>
      <c r="I3" s="538"/>
      <c r="J3" s="538"/>
      <c r="K3" s="538"/>
      <c r="L3" s="538"/>
      <c r="M3" s="538"/>
      <c r="N3" s="538"/>
      <c r="O3" s="538"/>
      <c r="P3" s="538"/>
      <c r="Q3" s="538"/>
      <c r="R3" s="538"/>
      <c r="S3" s="538"/>
    </row>
    <row r="4" spans="1:21" s="2" customFormat="1">
      <c r="H4" s="3"/>
      <c r="I4" s="539" t="s">
        <v>814</v>
      </c>
      <c r="J4" s="539"/>
      <c r="K4" s="539"/>
      <c r="L4" s="3"/>
      <c r="M4" s="539" t="s">
        <v>814</v>
      </c>
      <c r="N4" s="539"/>
      <c r="O4" s="539"/>
      <c r="P4" s="3"/>
      <c r="Q4" s="539" t="s">
        <v>815</v>
      </c>
      <c r="R4" s="539"/>
      <c r="S4" s="539"/>
    </row>
    <row r="5" spans="1:21" s="2" customFormat="1">
      <c r="H5" s="3"/>
      <c r="I5" s="536" t="s">
        <v>816</v>
      </c>
      <c r="J5" s="536"/>
      <c r="K5" s="536"/>
      <c r="L5" s="4"/>
      <c r="M5" s="536" t="s">
        <v>817</v>
      </c>
      <c r="N5" s="536"/>
      <c r="O5" s="536"/>
      <c r="P5" s="4"/>
      <c r="Q5" s="536" t="s">
        <v>818</v>
      </c>
      <c r="R5" s="536"/>
      <c r="S5" s="536"/>
    </row>
    <row r="6" spans="1:21" s="2" customFormat="1">
      <c r="B6" s="5" t="s">
        <v>819</v>
      </c>
      <c r="C6" s="5"/>
      <c r="D6" s="6"/>
      <c r="E6" s="536" t="s">
        <v>813</v>
      </c>
      <c r="F6" s="536"/>
      <c r="G6" s="536"/>
      <c r="H6" s="6"/>
      <c r="I6" s="480" t="s">
        <v>820</v>
      </c>
      <c r="J6" s="7" t="s">
        <v>821</v>
      </c>
      <c r="K6" s="480" t="s">
        <v>822</v>
      </c>
      <c r="L6" s="6"/>
      <c r="M6" s="480" t="s">
        <v>820</v>
      </c>
      <c r="N6" s="7" t="s">
        <v>821</v>
      </c>
      <c r="O6" s="480" t="s">
        <v>822</v>
      </c>
      <c r="P6" s="6"/>
      <c r="Q6" s="7" t="s">
        <v>820</v>
      </c>
      <c r="R6" s="7" t="s">
        <v>821</v>
      </c>
      <c r="S6" s="7" t="s">
        <v>822</v>
      </c>
    </row>
    <row r="7" spans="1:21" s="2" customFormat="1">
      <c r="A7" s="3"/>
      <c r="B7" s="13" t="s">
        <v>823</v>
      </c>
      <c r="C7" s="3"/>
      <c r="D7" s="3"/>
      <c r="E7" s="3"/>
      <c r="F7" s="3"/>
      <c r="G7" s="3"/>
      <c r="H7" s="3"/>
      <c r="I7" s="14"/>
      <c r="J7" s="15"/>
      <c r="K7" s="12"/>
      <c r="L7" s="3"/>
      <c r="M7" s="14"/>
      <c r="N7" s="15"/>
      <c r="O7" s="12"/>
      <c r="P7" s="3"/>
      <c r="Q7" s="14"/>
      <c r="R7" s="15"/>
      <c r="S7" s="12"/>
    </row>
    <row r="8" spans="1:21" s="2" customFormat="1" ht="13.5">
      <c r="A8" s="3"/>
      <c r="B8" s="16"/>
      <c r="C8" s="16" t="s">
        <v>369</v>
      </c>
      <c r="D8" s="16"/>
      <c r="E8" s="21" t="s">
        <v>824</v>
      </c>
      <c r="F8" s="22"/>
      <c r="G8" s="429" t="s">
        <v>825</v>
      </c>
      <c r="H8" s="16"/>
      <c r="I8" s="8">
        <f>26+4+2</f>
        <v>32</v>
      </c>
      <c r="J8" s="8">
        <f>(I25/16700)</f>
        <v>59.72688622754491</v>
      </c>
      <c r="K8" s="23">
        <f t="shared" ref="K8:K19" si="0">I8-J8</f>
        <v>-27.72688622754491</v>
      </c>
      <c r="L8" s="3"/>
      <c r="M8" s="8">
        <f>9+1</f>
        <v>10</v>
      </c>
      <c r="N8" s="8">
        <f>M25/16700</f>
        <v>19.000898203592815</v>
      </c>
      <c r="O8" s="17">
        <f t="shared" ref="O8:O19" si="1">M8-N8</f>
        <v>-9.0008982035928149</v>
      </c>
      <c r="P8" s="3"/>
      <c r="Q8" s="8">
        <f>9.475+1</f>
        <v>10.475</v>
      </c>
      <c r="R8" s="8">
        <f>Q25/16700</f>
        <v>14.439161676646707</v>
      </c>
      <c r="S8" s="17">
        <f t="shared" ref="S8:S19" si="2">Q8-R8</f>
        <v>-3.9641616766467074</v>
      </c>
      <c r="U8" s="436"/>
    </row>
    <row r="9" spans="1:21" s="2" customFormat="1">
      <c r="A9" s="3"/>
      <c r="B9" s="9"/>
      <c r="C9" s="9"/>
      <c r="D9" s="9"/>
      <c r="E9" s="3"/>
      <c r="F9" s="3"/>
      <c r="G9" s="9"/>
      <c r="H9" s="9"/>
      <c r="I9" s="24"/>
      <c r="J9" s="25"/>
      <c r="K9" s="26"/>
      <c r="L9" s="3"/>
      <c r="M9" s="10"/>
      <c r="N9" s="11"/>
      <c r="O9" s="12"/>
      <c r="P9" s="3"/>
      <c r="Q9" s="10"/>
      <c r="R9" s="11"/>
      <c r="S9" s="12"/>
    </row>
    <row r="10" spans="1:21" s="2" customFormat="1">
      <c r="A10" s="3"/>
      <c r="B10" s="13" t="s">
        <v>826</v>
      </c>
      <c r="C10" s="3"/>
      <c r="D10" s="3"/>
      <c r="E10" s="3"/>
      <c r="F10" s="3"/>
      <c r="G10" s="3"/>
      <c r="H10" s="3"/>
      <c r="I10" s="14"/>
      <c r="J10" s="15"/>
      <c r="K10" s="12"/>
      <c r="L10" s="3"/>
      <c r="M10" s="14"/>
      <c r="N10" s="15"/>
      <c r="O10" s="27"/>
      <c r="P10" s="3"/>
      <c r="Q10" s="14"/>
      <c r="R10" s="15"/>
      <c r="S10" s="12"/>
    </row>
    <row r="11" spans="1:21" s="2" customFormat="1">
      <c r="A11" s="3"/>
      <c r="B11" s="16"/>
      <c r="C11" s="16" t="s">
        <v>827</v>
      </c>
      <c r="D11" s="16"/>
      <c r="E11" s="16" t="s">
        <v>828</v>
      </c>
      <c r="F11" s="16"/>
      <c r="G11" s="16"/>
      <c r="H11" s="16"/>
      <c r="I11" s="8">
        <f>2+1+9-1+1</f>
        <v>12</v>
      </c>
      <c r="J11" s="8">
        <f>I26/10</f>
        <v>10.1</v>
      </c>
      <c r="K11" s="23">
        <f t="shared" si="0"/>
        <v>1.9000000000000004</v>
      </c>
      <c r="L11" s="3"/>
      <c r="M11" s="8">
        <f>1+4+1</f>
        <v>6</v>
      </c>
      <c r="N11" s="8">
        <f>M26/10</f>
        <v>9.5</v>
      </c>
      <c r="O11" s="17">
        <f t="shared" si="1"/>
        <v>-3.5</v>
      </c>
      <c r="P11" s="3"/>
      <c r="Q11" s="8">
        <f>2+1</f>
        <v>3</v>
      </c>
      <c r="R11" s="8">
        <f>Q26/10</f>
        <v>5.64</v>
      </c>
      <c r="S11" s="17">
        <f t="shared" si="2"/>
        <v>-2.6399999999999997</v>
      </c>
    </row>
    <row r="12" spans="1:21" s="2" customFormat="1">
      <c r="A12" s="3"/>
      <c r="B12" s="18"/>
      <c r="C12" s="18" t="s">
        <v>827</v>
      </c>
      <c r="D12" s="18"/>
      <c r="E12" s="18" t="s">
        <v>829</v>
      </c>
      <c r="F12" s="18"/>
      <c r="G12" s="18"/>
      <c r="H12" s="18"/>
      <c r="I12" s="28">
        <v>0</v>
      </c>
      <c r="J12" s="28">
        <v>0</v>
      </c>
      <c r="K12" s="20">
        <f t="shared" si="0"/>
        <v>0</v>
      </c>
      <c r="L12" s="3"/>
      <c r="M12" s="28">
        <v>0</v>
      </c>
      <c r="N12" s="28">
        <f>M27/50</f>
        <v>0.24</v>
      </c>
      <c r="O12" s="19">
        <f t="shared" si="1"/>
        <v>-0.24</v>
      </c>
      <c r="P12" s="3"/>
      <c r="Q12" s="28">
        <v>0</v>
      </c>
      <c r="R12" s="28">
        <f>Q27/50</f>
        <v>1.472</v>
      </c>
      <c r="S12" s="19">
        <f t="shared" si="2"/>
        <v>-1.472</v>
      </c>
    </row>
    <row r="13" spans="1:21" s="2" customFormat="1">
      <c r="A13" s="3"/>
      <c r="B13" s="18"/>
      <c r="C13" s="18" t="s">
        <v>322</v>
      </c>
      <c r="D13" s="18"/>
      <c r="E13" s="18" t="s">
        <v>830</v>
      </c>
      <c r="F13" s="18"/>
      <c r="G13" s="18"/>
      <c r="H13" s="18"/>
      <c r="I13" s="28">
        <v>2</v>
      </c>
      <c r="J13" s="28">
        <f>I28/10</f>
        <v>1.7</v>
      </c>
      <c r="K13" s="30">
        <f t="shared" si="0"/>
        <v>0.30000000000000004</v>
      </c>
      <c r="L13" s="3"/>
      <c r="M13" s="28">
        <v>0</v>
      </c>
      <c r="N13" s="28">
        <f>M28/10</f>
        <v>2.5</v>
      </c>
      <c r="O13" s="19">
        <f t="shared" si="1"/>
        <v>-2.5</v>
      </c>
      <c r="P13" s="3"/>
      <c r="Q13" s="28">
        <v>1</v>
      </c>
      <c r="R13" s="28">
        <f>Q28/10</f>
        <v>1.1000000000000001</v>
      </c>
      <c r="S13" s="19">
        <f t="shared" si="2"/>
        <v>-0.10000000000000009</v>
      </c>
    </row>
    <row r="14" spans="1:21" s="2" customFormat="1">
      <c r="A14" s="3"/>
      <c r="B14" s="18"/>
      <c r="C14" s="18" t="s">
        <v>566</v>
      </c>
      <c r="D14" s="18"/>
      <c r="E14" s="18" t="s">
        <v>831</v>
      </c>
      <c r="F14" s="18"/>
      <c r="G14" s="18"/>
      <c r="H14" s="18"/>
      <c r="I14" s="28">
        <v>0</v>
      </c>
      <c r="J14" s="28">
        <v>2</v>
      </c>
      <c r="K14" s="19">
        <f t="shared" si="0"/>
        <v>-2</v>
      </c>
      <c r="L14" s="3"/>
      <c r="M14" s="28">
        <v>0</v>
      </c>
      <c r="N14" s="28">
        <v>0</v>
      </c>
      <c r="O14" s="20">
        <f t="shared" si="1"/>
        <v>0</v>
      </c>
      <c r="P14" s="3"/>
      <c r="Q14" s="28">
        <v>0</v>
      </c>
      <c r="R14" s="28">
        <v>0</v>
      </c>
      <c r="S14" s="20">
        <f t="shared" si="2"/>
        <v>0</v>
      </c>
    </row>
    <row r="15" spans="1:21" s="2" customFormat="1">
      <c r="A15" s="3"/>
      <c r="B15" s="18"/>
      <c r="C15" s="18" t="s">
        <v>832</v>
      </c>
      <c r="D15" s="18"/>
      <c r="E15" s="18" t="s">
        <v>833</v>
      </c>
      <c r="F15" s="18"/>
      <c r="G15" s="18"/>
      <c r="H15" s="18"/>
      <c r="I15" s="28">
        <v>1</v>
      </c>
      <c r="J15" s="28">
        <v>1</v>
      </c>
      <c r="K15" s="20">
        <f t="shared" si="0"/>
        <v>0</v>
      </c>
      <c r="L15" s="3"/>
      <c r="M15" s="28">
        <v>0</v>
      </c>
      <c r="N15" s="28">
        <v>0</v>
      </c>
      <c r="O15" s="20">
        <v>0</v>
      </c>
      <c r="P15" s="3"/>
      <c r="Q15" s="28">
        <v>0</v>
      </c>
      <c r="R15" s="28">
        <v>0</v>
      </c>
      <c r="S15" s="20">
        <v>0</v>
      </c>
    </row>
    <row r="16" spans="1:21" s="2" customFormat="1">
      <c r="A16" s="3"/>
      <c r="B16" s="9"/>
      <c r="C16" s="9"/>
      <c r="D16" s="9"/>
      <c r="E16" s="9"/>
      <c r="F16" s="9"/>
      <c r="G16" s="9"/>
      <c r="H16" s="9"/>
      <c r="I16" s="24"/>
      <c r="J16" s="25"/>
      <c r="K16" s="26"/>
      <c r="L16" s="3"/>
      <c r="M16" s="10"/>
      <c r="N16" s="11"/>
      <c r="O16" s="12"/>
      <c r="P16" s="3"/>
      <c r="Q16" s="10"/>
      <c r="R16" s="11"/>
      <c r="S16" s="12"/>
    </row>
    <row r="17" spans="1:23" s="2" customFormat="1">
      <c r="A17" s="3"/>
      <c r="B17" s="13" t="s">
        <v>834</v>
      </c>
      <c r="C17" s="3"/>
      <c r="D17" s="3"/>
      <c r="E17" s="3"/>
      <c r="F17" s="3"/>
      <c r="G17" s="3"/>
      <c r="H17" s="3"/>
      <c r="I17" s="10"/>
      <c r="J17" s="11"/>
      <c r="K17" s="12"/>
      <c r="L17" s="3"/>
      <c r="M17" s="10"/>
      <c r="N17" s="11"/>
      <c r="O17" s="12"/>
      <c r="P17" s="3"/>
      <c r="Q17" s="10"/>
      <c r="R17" s="11"/>
      <c r="S17" s="12"/>
    </row>
    <row r="18" spans="1:23" s="2" customFormat="1">
      <c r="A18" s="3"/>
      <c r="B18" s="16"/>
      <c r="C18" s="16" t="s">
        <v>456</v>
      </c>
      <c r="D18" s="16"/>
      <c r="E18" s="21" t="s">
        <v>835</v>
      </c>
      <c r="F18" s="22"/>
      <c r="G18" s="16"/>
      <c r="H18" s="16"/>
      <c r="I18" s="31">
        <f>10</f>
        <v>10</v>
      </c>
      <c r="J18" s="31">
        <f>I25/67456</f>
        <v>14.786512689753321</v>
      </c>
      <c r="K18" s="17">
        <f t="shared" si="0"/>
        <v>-4.7865126897533212</v>
      </c>
      <c r="L18" s="3"/>
      <c r="M18" s="31">
        <v>3</v>
      </c>
      <c r="N18" s="31">
        <f>M25/67456</f>
        <v>4.7040292931688805</v>
      </c>
      <c r="O18" s="17">
        <f t="shared" si="1"/>
        <v>-1.7040292931688805</v>
      </c>
      <c r="P18" s="3"/>
      <c r="Q18" s="31">
        <v>4</v>
      </c>
      <c r="R18" s="31">
        <f>Q25/67456</f>
        <v>3.5746857210626186</v>
      </c>
      <c r="S18" s="17">
        <f t="shared" si="2"/>
        <v>0.42531427893738138</v>
      </c>
    </row>
    <row r="19" spans="1:23" s="2" customFormat="1">
      <c r="A19" s="3"/>
      <c r="B19" s="18"/>
      <c r="C19" s="18" t="s">
        <v>455</v>
      </c>
      <c r="D19" s="18"/>
      <c r="E19" s="16" t="s">
        <v>836</v>
      </c>
      <c r="F19" s="16"/>
      <c r="G19" s="18"/>
      <c r="H19" s="18"/>
      <c r="I19" s="28">
        <v>0</v>
      </c>
      <c r="J19" s="28">
        <v>2</v>
      </c>
      <c r="K19" s="19">
        <f t="shared" si="0"/>
        <v>-2</v>
      </c>
      <c r="L19" s="3"/>
      <c r="M19" s="28">
        <v>0</v>
      </c>
      <c r="N19" s="28">
        <v>2</v>
      </c>
      <c r="O19" s="19">
        <f t="shared" si="1"/>
        <v>-2</v>
      </c>
      <c r="P19" s="3"/>
      <c r="Q19" s="28">
        <v>0</v>
      </c>
      <c r="R19" s="28">
        <v>2</v>
      </c>
      <c r="S19" s="19">
        <f t="shared" si="2"/>
        <v>-2</v>
      </c>
    </row>
    <row r="20" spans="1:23" s="2" customFormat="1">
      <c r="A20" s="3"/>
      <c r="B20" s="9"/>
      <c r="C20" s="9"/>
      <c r="D20" s="9"/>
      <c r="E20" s="9"/>
      <c r="F20" s="9"/>
      <c r="G20" s="9"/>
      <c r="H20" s="9"/>
      <c r="I20" s="28"/>
      <c r="J20" s="29"/>
      <c r="K20" s="33"/>
      <c r="L20" s="3"/>
      <c r="M20" s="31"/>
      <c r="N20" s="32"/>
      <c r="O20" s="34"/>
      <c r="P20" s="3"/>
      <c r="Q20" s="31"/>
      <c r="R20" s="32"/>
      <c r="S20" s="34"/>
    </row>
    <row r="21" spans="1:23" s="2" customFormat="1">
      <c r="A21" s="3"/>
      <c r="B21" s="16"/>
      <c r="C21" s="16"/>
      <c r="D21" s="35"/>
      <c r="E21" s="36"/>
      <c r="F21" s="36"/>
      <c r="G21" s="36" t="s">
        <v>837</v>
      </c>
      <c r="H21" s="35"/>
      <c r="I21" s="37">
        <f>SUM(I7:I20)</f>
        <v>57</v>
      </c>
      <c r="J21" s="38">
        <f>SUM(J7:J20)</f>
        <v>91.31339891729823</v>
      </c>
      <c r="K21" s="39">
        <f>SUM(K7:K20)</f>
        <v>-34.31339891729823</v>
      </c>
      <c r="L21" s="4"/>
      <c r="M21" s="37">
        <f>SUM(M7:M20)</f>
        <v>19</v>
      </c>
      <c r="N21" s="38">
        <f>SUM(N7:N20)</f>
        <v>37.944927496761693</v>
      </c>
      <c r="O21" s="39">
        <f>SUM(O7:O20)</f>
        <v>-18.944927496761697</v>
      </c>
      <c r="P21" s="4"/>
      <c r="Q21" s="37">
        <f>SUM(Q7:Q20)</f>
        <v>18.475000000000001</v>
      </c>
      <c r="R21" s="38">
        <f>SUM(R7:R20)</f>
        <v>28.225847397709327</v>
      </c>
      <c r="S21" s="39">
        <f>SUM(S7:S20)</f>
        <v>-9.7508473977093253</v>
      </c>
    </row>
    <row r="22" spans="1:23" s="2" customFormat="1">
      <c r="B22" s="541" t="s">
        <v>838</v>
      </c>
      <c r="C22" s="541"/>
      <c r="D22" s="3"/>
      <c r="E22" s="3"/>
      <c r="F22" s="3"/>
      <c r="G22" s="3"/>
      <c r="H22" s="3"/>
      <c r="I22" s="3"/>
      <c r="J22" s="3"/>
      <c r="K22" s="40">
        <f>I21/J21</f>
        <v>0.62422383435342732</v>
      </c>
      <c r="L22" s="3"/>
      <c r="M22" s="9"/>
      <c r="N22" s="9"/>
      <c r="O22" s="41">
        <f>M21/N21</f>
        <v>0.50072568992578792</v>
      </c>
      <c r="P22" s="3"/>
      <c r="Q22" s="9"/>
      <c r="R22" s="9"/>
      <c r="S22" s="40">
        <f>Q21/R21</f>
        <v>0.65454190762397957</v>
      </c>
    </row>
    <row r="23" spans="1:23" s="2" customFormat="1" ht="12.95" customHeight="1">
      <c r="B23" s="542" t="s">
        <v>443</v>
      </c>
      <c r="C23" s="545" t="s">
        <v>839</v>
      </c>
      <c r="D23" s="3"/>
      <c r="E23" s="42" t="s">
        <v>840</v>
      </c>
      <c r="F23" s="42"/>
      <c r="G23" s="42"/>
      <c r="H23" s="43"/>
      <c r="I23" s="43"/>
      <c r="J23" s="43"/>
      <c r="K23" s="43"/>
      <c r="L23" s="43"/>
      <c r="M23" s="43"/>
      <c r="N23" s="43"/>
      <c r="O23" s="43"/>
      <c r="P23" s="43"/>
      <c r="Q23" s="43"/>
      <c r="R23" s="43"/>
      <c r="S23" s="43"/>
    </row>
    <row r="24" spans="1:23" s="2" customFormat="1" ht="12.95" customHeight="1">
      <c r="B24" s="543"/>
      <c r="C24" s="546"/>
      <c r="D24" s="3"/>
      <c r="E24" s="44" t="s">
        <v>841</v>
      </c>
      <c r="F24" s="44"/>
      <c r="G24" s="44"/>
      <c r="H24" s="3"/>
      <c r="I24" s="45">
        <f>'bldg_summary All 4-14-21'!$G$88</f>
        <v>1129</v>
      </c>
      <c r="J24" s="236"/>
      <c r="K24" s="46"/>
      <c r="L24" s="3"/>
      <c r="M24" s="45">
        <f>'bldg_summary All 4-14-21'!$G$149</f>
        <v>3026</v>
      </c>
      <c r="N24" s="236"/>
      <c r="O24" s="46"/>
      <c r="P24" s="3"/>
      <c r="Q24" s="45">
        <f>'bldg_summary All 4-14-21'!$G$189</f>
        <v>168920</v>
      </c>
      <c r="R24" s="236"/>
      <c r="S24" s="46"/>
    </row>
    <row r="25" spans="1:23" s="2" customFormat="1" ht="42" customHeight="1">
      <c r="B25" s="544"/>
      <c r="C25" s="547"/>
      <c r="D25" s="3"/>
      <c r="E25" s="16" t="s">
        <v>842</v>
      </c>
      <c r="F25" s="16"/>
      <c r="G25" s="16"/>
      <c r="H25" s="3"/>
      <c r="I25" s="47">
        <f>'FUSION GSF BY LOCATION'!$C$102</f>
        <v>997439</v>
      </c>
      <c r="J25" s="236"/>
      <c r="K25" s="46"/>
      <c r="L25" s="3"/>
      <c r="M25" s="47">
        <f>'FUSION GSF BY LOCATION'!$H$70</f>
        <v>317315</v>
      </c>
      <c r="N25" s="236"/>
      <c r="O25" s="46"/>
      <c r="P25" s="3"/>
      <c r="Q25" s="47">
        <f>'FUSION GSF BY LOCATION'!$L$51</f>
        <v>241134</v>
      </c>
      <c r="R25" s="236"/>
      <c r="S25" s="46"/>
    </row>
    <row r="26" spans="1:23" s="2" customFormat="1">
      <c r="B26" s="542" t="s">
        <v>843</v>
      </c>
      <c r="C26" s="548" t="s">
        <v>844</v>
      </c>
      <c r="D26" s="3"/>
      <c r="E26" s="18" t="s">
        <v>845</v>
      </c>
      <c r="F26" s="18"/>
      <c r="G26" s="18"/>
      <c r="H26" s="3"/>
      <c r="I26" s="238">
        <v>101</v>
      </c>
      <c r="J26" s="46"/>
      <c r="K26" s="46"/>
      <c r="L26" s="3"/>
      <c r="M26" s="238">
        <v>95</v>
      </c>
      <c r="N26" s="46"/>
      <c r="O26" s="46"/>
      <c r="P26" s="3"/>
      <c r="Q26" s="238">
        <v>56.4</v>
      </c>
      <c r="R26" s="46"/>
      <c r="S26" s="46"/>
    </row>
    <row r="27" spans="1:23" s="2" customFormat="1">
      <c r="B27" s="543"/>
      <c r="C27" s="549"/>
      <c r="D27" s="3"/>
      <c r="E27" s="18" t="s">
        <v>846</v>
      </c>
      <c r="F27" s="18"/>
      <c r="G27" s="18"/>
      <c r="H27" s="3"/>
      <c r="I27" s="238">
        <v>0</v>
      </c>
      <c r="J27" s="46"/>
      <c r="K27" s="46"/>
      <c r="L27" s="3"/>
      <c r="M27" s="238">
        <f>M29-M28-M26</f>
        <v>12</v>
      </c>
      <c r="N27" s="46"/>
      <c r="O27" s="46"/>
      <c r="P27" s="3"/>
      <c r="Q27" s="238">
        <f>Q29-Q26-Q28</f>
        <v>73.599999999999994</v>
      </c>
      <c r="R27" s="46"/>
      <c r="S27" s="46"/>
    </row>
    <row r="28" spans="1:23" s="2" customFormat="1">
      <c r="B28" s="544"/>
      <c r="C28" s="550"/>
      <c r="D28" s="3"/>
      <c r="E28" s="18" t="s">
        <v>847</v>
      </c>
      <c r="F28" s="18"/>
      <c r="G28" s="18"/>
      <c r="H28" s="3"/>
      <c r="I28" s="238">
        <f>I29-I26</f>
        <v>17</v>
      </c>
      <c r="J28" s="46"/>
      <c r="K28" s="46"/>
      <c r="L28" s="3"/>
      <c r="M28" s="238">
        <v>25</v>
      </c>
      <c r="N28" s="46"/>
      <c r="O28" s="46"/>
      <c r="P28" s="3"/>
      <c r="Q28" s="238">
        <v>11</v>
      </c>
      <c r="R28" s="46"/>
      <c r="S28" s="46"/>
    </row>
    <row r="29" spans="1:23" s="2" customFormat="1" ht="13.5" thickBot="1">
      <c r="B29" s="48" t="s">
        <v>310</v>
      </c>
      <c r="C29" s="49" t="s">
        <v>848</v>
      </c>
      <c r="D29" s="3"/>
      <c r="E29" s="50" t="s">
        <v>849</v>
      </c>
      <c r="F29" s="18"/>
      <c r="G29" s="18" t="s">
        <v>850</v>
      </c>
      <c r="H29" s="3"/>
      <c r="I29" s="237">
        <v>118</v>
      </c>
      <c r="J29" s="46"/>
      <c r="K29" s="46"/>
      <c r="L29" s="3"/>
      <c r="M29" s="237">
        <v>132</v>
      </c>
      <c r="N29" s="46"/>
      <c r="O29" s="46"/>
      <c r="P29" s="3"/>
      <c r="Q29" s="237">
        <v>141</v>
      </c>
      <c r="R29" s="46"/>
      <c r="S29" s="46"/>
      <c r="V29" s="51"/>
      <c r="W29" s="52"/>
    </row>
    <row r="30" spans="1:23" s="2" customFormat="1" ht="26.25" thickTop="1">
      <c r="B30" s="48" t="s">
        <v>424</v>
      </c>
      <c r="C30" s="53" t="s">
        <v>851</v>
      </c>
      <c r="D30" s="3"/>
      <c r="E30" s="3"/>
      <c r="F30" s="3"/>
      <c r="G30" s="3"/>
      <c r="H30" s="3"/>
      <c r="I30" s="3"/>
      <c r="J30" s="3"/>
      <c r="K30" s="3"/>
      <c r="L30" s="3"/>
      <c r="M30" s="9"/>
      <c r="N30" s="3"/>
      <c r="O30" s="3"/>
      <c r="P30" s="3"/>
      <c r="Q30" s="9"/>
      <c r="R30" s="3"/>
      <c r="S30" s="3"/>
    </row>
    <row r="31" spans="1:23" s="2" customFormat="1">
      <c r="B31" s="542" t="s">
        <v>297</v>
      </c>
      <c r="C31" s="548" t="s">
        <v>852</v>
      </c>
      <c r="D31" s="3"/>
      <c r="E31" s="3"/>
      <c r="F31" s="3"/>
      <c r="G31" s="3"/>
      <c r="H31" s="3"/>
      <c r="I31" s="3"/>
      <c r="J31" s="3"/>
      <c r="K31" s="3"/>
      <c r="L31" s="3"/>
      <c r="M31" s="3"/>
      <c r="N31" s="3"/>
      <c r="O31" s="3"/>
      <c r="P31" s="3"/>
      <c r="Q31" s="3"/>
      <c r="R31" s="3"/>
      <c r="S31" s="3"/>
    </row>
    <row r="32" spans="1:23" s="2" customFormat="1" ht="16.5" customHeight="1">
      <c r="B32" s="544"/>
      <c r="C32" s="550"/>
      <c r="D32" s="3"/>
      <c r="E32" s="3"/>
      <c r="F32" s="3"/>
      <c r="G32" s="152"/>
      <c r="H32" s="152"/>
      <c r="I32" s="152"/>
      <c r="J32" s="152"/>
      <c r="K32" s="3"/>
      <c r="L32" s="3"/>
      <c r="M32" s="3"/>
      <c r="N32" s="3"/>
      <c r="O32" s="3"/>
      <c r="P32" s="3"/>
      <c r="Q32" s="3"/>
      <c r="R32" s="3"/>
      <c r="S32" s="3"/>
    </row>
    <row r="33" spans="4:19" s="2" customFormat="1" ht="12.95" customHeight="1">
      <c r="D33" s="3"/>
      <c r="G33" s="152"/>
      <c r="H33" s="152"/>
      <c r="I33" s="152"/>
      <c r="J33" s="152"/>
      <c r="L33" s="3"/>
      <c r="P33" s="3"/>
      <c r="Q33" s="540"/>
      <c r="R33" s="540"/>
      <c r="S33" s="540"/>
    </row>
    <row r="34" spans="4:19" s="2" customFormat="1" ht="12.95" customHeight="1">
      <c r="G34" s="152"/>
      <c r="H34" s="152"/>
      <c r="I34" s="152"/>
      <c r="J34" s="152"/>
    </row>
    <row r="35" spans="4:19" ht="12.95" customHeight="1">
      <c r="G35" s="152"/>
      <c r="H35" s="152"/>
      <c r="I35" s="152"/>
      <c r="J35" s="152"/>
    </row>
  </sheetData>
  <sheetProtection algorithmName="SHA-512" hashValue="9V86HLmhhPTARgq3Syf8UNOW4F4+/KA1aJbFCcHum0WRJSzG6grrppmaT6M5SzRitQizWPfk9ATi/s8MH/ivWw==" saltValue="3cRLxTiLVjqJjkCId4WtYg==" spinCount="100000" sheet="1" objects="1" scenarios="1"/>
  <mergeCells count="18">
    <mergeCell ref="Q33:S33"/>
    <mergeCell ref="B22:C22"/>
    <mergeCell ref="B23:B25"/>
    <mergeCell ref="C23:C25"/>
    <mergeCell ref="B26:B28"/>
    <mergeCell ref="C26:C28"/>
    <mergeCell ref="B31:B32"/>
    <mergeCell ref="C31:C32"/>
    <mergeCell ref="I5:K5"/>
    <mergeCell ref="M5:O5"/>
    <mergeCell ref="Q5:S5"/>
    <mergeCell ref="E6:G6"/>
    <mergeCell ref="B1:S1"/>
    <mergeCell ref="B2:S2"/>
    <mergeCell ref="B3:S3"/>
    <mergeCell ref="I4:K4"/>
    <mergeCell ref="M4:O4"/>
    <mergeCell ref="Q4:S4"/>
  </mergeCells>
  <pageMargins left="0.17" right="0.17" top="0.5" bottom="0.5" header="0.5" footer="0.5"/>
  <pageSetup orientation="landscape" r:id="rId1"/>
  <headerFooter alignWithMargins="0">
    <oddFooter>&amp;R&amp;D&amp;F</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tabColor theme="7" tint="-0.499984740745262"/>
    <pageSetUpPr fitToPage="1"/>
  </sheetPr>
  <dimension ref="A1:P104"/>
  <sheetViews>
    <sheetView topLeftCell="A88" zoomScaleNormal="100" workbookViewId="0">
      <selection activeCell="D14" sqref="D14"/>
    </sheetView>
  </sheetViews>
  <sheetFormatPr defaultRowHeight="12.75"/>
  <cols>
    <col min="1" max="1" width="4.28515625" customWidth="1"/>
    <col min="2" max="2" width="26.28515625" customWidth="1"/>
    <col min="3" max="3" width="10.85546875" customWidth="1"/>
    <col min="4" max="5" width="5.7109375" customWidth="1"/>
    <col min="6" max="6" width="3.28515625" customWidth="1"/>
    <col min="7" max="7" width="24" customWidth="1"/>
    <col min="8" max="8" width="11.28515625" bestFit="1" customWidth="1"/>
    <col min="9" max="9" width="5.7109375" customWidth="1"/>
    <col min="10" max="10" width="3.7109375" customWidth="1"/>
    <col min="11" max="11" width="28.140625" customWidth="1"/>
    <col min="12" max="12" width="10.28515625" customWidth="1"/>
    <col min="13" max="13" width="5.7109375" customWidth="1"/>
    <col min="14" max="14" width="4.85546875" customWidth="1"/>
    <col min="15" max="15" width="24.28515625" customWidth="1"/>
    <col min="17" max="17" width="10.28515625" customWidth="1"/>
  </cols>
  <sheetData>
    <row r="1" spans="1:16" ht="19.5" customHeight="1">
      <c r="G1" s="416" t="s">
        <v>853</v>
      </c>
      <c r="K1" s="152"/>
      <c r="L1" s="152"/>
      <c r="M1" s="152"/>
      <c r="N1" s="152"/>
    </row>
    <row r="2" spans="1:16" ht="21" customHeight="1">
      <c r="A2" s="216" t="s">
        <v>854</v>
      </c>
      <c r="C2" s="54"/>
      <c r="G2" s="145" t="s">
        <v>855</v>
      </c>
      <c r="J2" s="217"/>
      <c r="K2" s="218">
        <f>C94+H70+L51+P24</f>
        <v>2055096</v>
      </c>
      <c r="L2" s="218" t="s">
        <v>856</v>
      </c>
      <c r="M2" s="152"/>
      <c r="N2" s="152"/>
    </row>
    <row r="3" spans="1:16">
      <c r="C3" s="54"/>
    </row>
    <row r="4" spans="1:16" ht="13.5" thickBot="1">
      <c r="A4" s="214" t="s">
        <v>857</v>
      </c>
      <c r="B4" s="214"/>
      <c r="C4" s="214"/>
      <c r="F4" s="214" t="s">
        <v>858</v>
      </c>
      <c r="G4" s="214"/>
      <c r="H4" s="214"/>
      <c r="J4" s="214" t="s">
        <v>859</v>
      </c>
      <c r="K4" s="214"/>
      <c r="L4" s="214"/>
      <c r="N4" s="215" t="s">
        <v>860</v>
      </c>
      <c r="O4" s="215"/>
      <c r="P4" s="215"/>
    </row>
    <row r="5" spans="1:16">
      <c r="A5" s="55" t="s">
        <v>861</v>
      </c>
      <c r="B5" s="55" t="s">
        <v>862</v>
      </c>
      <c r="C5" s="56" t="s">
        <v>863</v>
      </c>
      <c r="F5" s="55" t="s">
        <v>861</v>
      </c>
      <c r="G5" s="55" t="s">
        <v>862</v>
      </c>
      <c r="H5" s="56" t="s">
        <v>863</v>
      </c>
      <c r="J5" s="55" t="s">
        <v>861</v>
      </c>
      <c r="K5" s="55" t="s">
        <v>862</v>
      </c>
      <c r="L5" s="56" t="s">
        <v>863</v>
      </c>
      <c r="N5" s="55" t="s">
        <v>861</v>
      </c>
      <c r="O5" s="55" t="s">
        <v>862</v>
      </c>
      <c r="P5" s="56" t="s">
        <v>863</v>
      </c>
    </row>
    <row r="6" spans="1:16" ht="12.95" customHeight="1">
      <c r="A6" s="57">
        <v>1</v>
      </c>
      <c r="B6" s="57" t="s">
        <v>864</v>
      </c>
      <c r="C6" s="147">
        <f>SUMIFS('bldg_summary All 4-14-21'!$H$5:$H$201,'bldg_summary All 4-14-21'!$A$5:$A$201,$A$4,'bldg_summary All 4-14-21'!$B$5:$B$201,$A6)</f>
        <v>81246</v>
      </c>
      <c r="F6" s="57">
        <v>1</v>
      </c>
      <c r="G6" s="57" t="s">
        <v>865</v>
      </c>
      <c r="H6" s="58">
        <f>SUMIFS('bldg_summary All 4-14-21'!$H$5:$H$201,'bldg_summary All 4-14-21'!$A$5:$A$201,$F$4,'bldg_summary All 4-14-21'!$B$5:$B$201,$F6)</f>
        <v>24369</v>
      </c>
      <c r="J6" s="57">
        <v>1</v>
      </c>
      <c r="K6" s="59" t="s">
        <v>866</v>
      </c>
      <c r="L6" s="58">
        <f>SUMIFS('bldg_summary All 4-14-21'!$H$5:$H$201,'bldg_summary All 4-14-21'!$A$5:$A$201,$J$4,'bldg_summary All 4-14-21'!$B$5:$B$201,$J6)</f>
        <v>14357</v>
      </c>
      <c r="N6" s="57">
        <v>2</v>
      </c>
      <c r="O6" s="59" t="s">
        <v>867</v>
      </c>
      <c r="P6" s="147">
        <f>SUMIFS('bldg_summary All 4-14-21'!$H$5:$H$201,'bldg_summary All 4-14-21'!$A$5:$A$201,$N$4,'bldg_summary All 4-14-21'!$B$5:$B$201,$N6)</f>
        <v>0</v>
      </c>
    </row>
    <row r="7" spans="1:16" ht="12.95" customHeight="1">
      <c r="A7" s="57">
        <v>2</v>
      </c>
      <c r="B7" s="57" t="s">
        <v>868</v>
      </c>
      <c r="C7" s="147">
        <f>SUMIFS('bldg_summary All 4-14-21'!$H$5:$H$201,'bldg_summary All 4-14-21'!$A$5:$A$201,'FUSION GSF BY LOCATION'!$A$4,'bldg_summary All 4-14-21'!$B$5:$B$201,'FUSION GSF BY LOCATION'!$A7)</f>
        <v>8910</v>
      </c>
      <c r="F7" s="57">
        <v>2</v>
      </c>
      <c r="G7" s="57" t="s">
        <v>869</v>
      </c>
      <c r="H7" s="58">
        <f>SUMIFS('bldg_summary All 4-14-21'!$H$5:$H$201,'bldg_summary All 4-14-21'!$A$5:$A$201,$F$4,'bldg_summary All 4-14-21'!$B$5:$B$201,$F7)</f>
        <v>16218</v>
      </c>
      <c r="J7" s="57">
        <v>2</v>
      </c>
      <c r="K7" s="59" t="s">
        <v>870</v>
      </c>
      <c r="L7" s="58">
        <f>SUMIFS('bldg_summary All 4-14-21'!$H$5:$H$201,'bldg_summary All 4-14-21'!$A$5:$A$201,$J$4,'bldg_summary All 4-14-21'!$B$5:$B$201,$J7)</f>
        <v>14588</v>
      </c>
      <c r="N7" s="57">
        <v>9</v>
      </c>
      <c r="O7" s="59" t="s">
        <v>871</v>
      </c>
      <c r="P7" s="147">
        <f>SUMIFS('bldg_summary All 4-14-21'!$H$5:$H$201,'bldg_summary All 4-14-21'!$A$5:$A$201,$N$4,'bldg_summary All 4-14-21'!$B$5:$B$201,$N7)</f>
        <v>864</v>
      </c>
    </row>
    <row r="8" spans="1:16" ht="12.95" customHeight="1">
      <c r="A8" s="57">
        <v>3</v>
      </c>
      <c r="B8" s="57" t="s">
        <v>872</v>
      </c>
      <c r="C8" s="147">
        <f>SUMIFS('bldg_summary All 4-14-21'!$H$5:$H$201,'bldg_summary All 4-14-21'!$A$5:$A$201,'FUSION GSF BY LOCATION'!$A$4,'bldg_summary All 4-14-21'!$B$5:$B$201,'FUSION GSF BY LOCATION'!$A8)</f>
        <v>33105</v>
      </c>
      <c r="F8" s="57">
        <v>3</v>
      </c>
      <c r="G8" s="57" t="s">
        <v>873</v>
      </c>
      <c r="H8" s="58">
        <f>SUMIFS('bldg_summary All 4-14-21'!$H$5:$H$201,'bldg_summary All 4-14-21'!$A$5:$A$201,$F$4,'bldg_summary All 4-14-21'!$B$5:$B$201,$F8)</f>
        <v>13088</v>
      </c>
      <c r="J8" s="57">
        <v>3</v>
      </c>
      <c r="K8" s="59" t="s">
        <v>874</v>
      </c>
      <c r="L8" s="58">
        <f>SUMIFS('bldg_summary All 4-14-21'!$H$5:$H$201,'bldg_summary All 4-14-21'!$A$5:$A$201,$J$4,'bldg_summary All 4-14-21'!$B$5:$B$201,$J8)</f>
        <v>9277</v>
      </c>
      <c r="N8" s="57">
        <v>11</v>
      </c>
      <c r="O8" s="59" t="s">
        <v>875</v>
      </c>
      <c r="P8" s="147">
        <f>SUMIFS('bldg_summary All 4-14-21'!$H$5:$H$201,'bldg_summary All 4-14-21'!$A$5:$A$201,$N$4,'bldg_summary All 4-14-21'!$B$5:$B$201,$N8)</f>
        <v>7100</v>
      </c>
    </row>
    <row r="9" spans="1:16" ht="12.95" customHeight="1">
      <c r="A9" s="57">
        <v>4</v>
      </c>
      <c r="B9" s="57" t="s">
        <v>876</v>
      </c>
      <c r="C9" s="147">
        <f>SUMIFS('bldg_summary All 4-14-21'!$H$5:$H$201,'bldg_summary All 4-14-21'!$A$5:$A$201,'FUSION GSF BY LOCATION'!$A$4,'bldg_summary All 4-14-21'!$B$5:$B$201,'FUSION GSF BY LOCATION'!$A9)</f>
        <v>7500</v>
      </c>
      <c r="F9" s="57">
        <v>4</v>
      </c>
      <c r="G9" s="57" t="s">
        <v>877</v>
      </c>
      <c r="H9" s="432">
        <f>SUMIFS('bldg_summary All 4-14-21'!$H$5:$H$201,'bldg_summary All 4-14-21'!$A$5:$A$201,$F$4,'bldg_summary All 4-14-21'!$B$5:$B$201,$F9)</f>
        <v>4321</v>
      </c>
      <c r="J9" s="57">
        <v>4</v>
      </c>
      <c r="K9" s="59" t="s">
        <v>878</v>
      </c>
      <c r="L9" s="58">
        <f>SUMIFS('bldg_summary All 4-14-21'!$H$5:$H$201,'bldg_summary All 4-14-21'!$A$5:$A$201,$J$4,'bldg_summary All 4-14-21'!$B$5:$B$201,$J9)</f>
        <v>14496</v>
      </c>
      <c r="N9" s="57">
        <v>25</v>
      </c>
      <c r="O9" s="59" t="s">
        <v>879</v>
      </c>
      <c r="P9" s="147">
        <f>SUMIFS('bldg_summary All 4-14-21'!$H$5:$H$201,'bldg_summary All 4-14-21'!$A$5:$A$201,$N$4,'bldg_summary All 4-14-21'!$B$5:$B$201,$N9)</f>
        <v>3645</v>
      </c>
    </row>
    <row r="10" spans="1:16" ht="12.95" customHeight="1">
      <c r="A10" s="57">
        <v>5</v>
      </c>
      <c r="B10" s="57" t="s">
        <v>880</v>
      </c>
      <c r="C10" s="147">
        <f>SUMIFS('bldg_summary All 4-14-21'!$H$5:$H$201,'bldg_summary All 4-14-21'!$A$5:$A$201,'FUSION GSF BY LOCATION'!$A$4,'bldg_summary All 4-14-21'!$B$5:$B$201,'FUSION GSF BY LOCATION'!$A10)</f>
        <v>1770</v>
      </c>
      <c r="F10" s="57">
        <v>5</v>
      </c>
      <c r="G10" s="57" t="s">
        <v>881</v>
      </c>
      <c r="H10" s="58">
        <f>SUMIFS('bldg_summary All 4-14-21'!$H$5:$H$201,'bldg_summary All 4-14-21'!$A$5:$A$201,$F$4,'bldg_summary All 4-14-21'!$B$5:$B$201,$F10)</f>
        <v>1569</v>
      </c>
      <c r="J10" s="57">
        <v>5</v>
      </c>
      <c r="K10" s="59" t="s">
        <v>882</v>
      </c>
      <c r="L10" s="58">
        <f>SUMIFS('bldg_summary All 4-14-21'!$H$5:$H$201,'bldg_summary All 4-14-21'!$A$5:$A$201,$J$4,'bldg_summary All 4-14-21'!$B$5:$B$201,$J10)</f>
        <v>2785</v>
      </c>
      <c r="N10" s="57">
        <v>40</v>
      </c>
      <c r="O10" s="59" t="s">
        <v>883</v>
      </c>
      <c r="P10" s="147">
        <f>SUMIFS('bldg_summary All 4-14-21'!$H$5:$H$201,'bldg_summary All 4-14-21'!$A$5:$A$201,$N$4,'bldg_summary All 4-14-21'!$B$5:$B$201,$N10)</f>
        <v>480</v>
      </c>
    </row>
    <row r="11" spans="1:16" ht="12.95" customHeight="1">
      <c r="A11" s="57">
        <v>6</v>
      </c>
      <c r="B11" s="57" t="s">
        <v>884</v>
      </c>
      <c r="C11" s="147">
        <f>SUMIFS('bldg_summary All 4-14-21'!$H$5:$H$201,'bldg_summary All 4-14-21'!$A$5:$A$201,'FUSION GSF BY LOCATION'!$A$4,'bldg_summary All 4-14-21'!$B$5:$B$201,'FUSION GSF BY LOCATION'!$A11)</f>
        <v>16830</v>
      </c>
      <c r="F11" s="57">
        <v>6</v>
      </c>
      <c r="G11" s="57" t="s">
        <v>885</v>
      </c>
      <c r="H11" s="58">
        <f>SUMIFS('bldg_summary All 4-14-21'!$H$5:$H$201,'bldg_summary All 4-14-21'!$A$5:$A$201,$F$4,'bldg_summary All 4-14-21'!$B$5:$B$201,$F11)</f>
        <v>53190</v>
      </c>
      <c r="J11" s="57">
        <v>6</v>
      </c>
      <c r="K11" s="59" t="s">
        <v>886</v>
      </c>
      <c r="L11" s="58">
        <f>SUMIFS('bldg_summary All 4-14-21'!$H$5:$H$201,'bldg_summary All 4-14-21'!$A$5:$A$201,$J$4,'bldg_summary All 4-14-21'!$B$5:$B$201,$J11)</f>
        <v>1518</v>
      </c>
      <c r="N11" s="57">
        <v>130</v>
      </c>
      <c r="O11" s="59" t="s">
        <v>887</v>
      </c>
      <c r="P11" s="147">
        <f>SUMIFS('bldg_summary All 4-14-21'!$H$5:$H$201,'bldg_summary All 4-14-21'!$A$5:$A$201,$N$4,'bldg_summary All 4-14-21'!$B$5:$B$201,$N11)</f>
        <v>2027</v>
      </c>
    </row>
    <row r="12" spans="1:16" ht="12.95" customHeight="1">
      <c r="A12" s="57">
        <v>7</v>
      </c>
      <c r="B12" s="57" t="s">
        <v>888</v>
      </c>
      <c r="C12" s="147">
        <f>SUMIFS('bldg_summary All 4-14-21'!$H$5:$H$201,'bldg_summary All 4-14-21'!$A$5:$A$201,'FUSION GSF BY LOCATION'!$A$4,'bldg_summary All 4-14-21'!$B$5:$B$201,'FUSION GSF BY LOCATION'!$A12)</f>
        <v>20562</v>
      </c>
      <c r="F12" s="57">
        <v>7</v>
      </c>
      <c r="G12" s="57" t="s">
        <v>889</v>
      </c>
      <c r="H12" s="58">
        <f>SUMIFS('bldg_summary All 4-14-21'!$H$5:$H$201,'bldg_summary All 4-14-21'!$A$5:$A$201,$F$4,'bldg_summary All 4-14-21'!$B$5:$B$201,$F12)</f>
        <v>1569</v>
      </c>
      <c r="J12" s="57">
        <v>7</v>
      </c>
      <c r="K12" s="59" t="s">
        <v>890</v>
      </c>
      <c r="L12" s="58">
        <f>SUMIFS('bldg_summary All 4-14-21'!$H$5:$H$201,'bldg_summary All 4-14-21'!$A$5:$A$201,$J$4,'bldg_summary All 4-14-21'!$B$5:$B$201,$J12)</f>
        <v>996</v>
      </c>
      <c r="N12" s="57">
        <v>131</v>
      </c>
      <c r="O12" s="59" t="s">
        <v>891</v>
      </c>
      <c r="P12" s="147">
        <f>SUMIFS('bldg_summary All 4-14-21'!$H$5:$H$201,'bldg_summary All 4-14-21'!$A$5:$A$201,$N$4,'bldg_summary All 4-14-21'!$B$5:$B$201,$N12)</f>
        <v>3864</v>
      </c>
    </row>
    <row r="13" spans="1:16" ht="12.95" customHeight="1">
      <c r="A13" s="57">
        <v>10</v>
      </c>
      <c r="B13" s="57" t="s">
        <v>892</v>
      </c>
      <c r="C13" s="147">
        <f>SUMIFS('bldg_summary All 4-14-21'!$H$5:$H$201,'bldg_summary All 4-14-21'!$A$5:$A$201,'FUSION GSF BY LOCATION'!$A$4,'bldg_summary All 4-14-21'!$B$5:$B$201,'FUSION GSF BY LOCATION'!$A13)</f>
        <v>7554</v>
      </c>
      <c r="F13" s="57">
        <v>8</v>
      </c>
      <c r="G13" s="57" t="s">
        <v>893</v>
      </c>
      <c r="H13" s="58">
        <f>SUMIFS('bldg_summary All 4-14-21'!$H$5:$H$201,'bldg_summary All 4-14-21'!$A$5:$A$201,$F$4,'bldg_summary All 4-14-21'!$B$5:$B$201,$F13)</f>
        <v>3600</v>
      </c>
      <c r="J13" s="57">
        <v>8</v>
      </c>
      <c r="K13" s="59" t="s">
        <v>894</v>
      </c>
      <c r="L13" s="58">
        <f>SUMIFS('bldg_summary All 4-14-21'!$H$5:$H$201,'bldg_summary All 4-14-21'!$A$5:$A$201,$J$4,'bldg_summary All 4-14-21'!$B$5:$B$201,$J13)</f>
        <v>1233</v>
      </c>
      <c r="N13" s="57">
        <v>132</v>
      </c>
      <c r="O13" s="59" t="s">
        <v>895</v>
      </c>
      <c r="P13" s="147">
        <f>SUMIFS('bldg_summary All 4-14-21'!$H$5:$H$201,'bldg_summary All 4-14-21'!$A$5:$A$201,$N$4,'bldg_summary All 4-14-21'!$B$5:$B$201,$N13)</f>
        <v>3132</v>
      </c>
    </row>
    <row r="14" spans="1:16" ht="12.95" customHeight="1">
      <c r="A14" s="57">
        <v>12</v>
      </c>
      <c r="B14" s="57" t="s">
        <v>896</v>
      </c>
      <c r="C14" s="147">
        <f>SUMIFS('bldg_summary All 4-14-21'!$H$5:$H$201,'bldg_summary All 4-14-21'!$A$5:$A$201,'FUSION GSF BY LOCATION'!$A$4,'bldg_summary All 4-14-21'!$B$5:$B$201,'FUSION GSF BY LOCATION'!$A14)</f>
        <v>30003</v>
      </c>
      <c r="F14" s="57">
        <v>9</v>
      </c>
      <c r="G14" s="57" t="s">
        <v>897</v>
      </c>
      <c r="H14" s="58">
        <f>SUMIFS('bldg_summary All 4-14-21'!$H$5:$H$201,'bldg_summary All 4-14-21'!$A$5:$A$201,$F$4,'bldg_summary All 4-14-21'!$B$5:$B$201,$F14)</f>
        <v>3200</v>
      </c>
      <c r="J14" s="57">
        <v>9</v>
      </c>
      <c r="K14" s="59" t="s">
        <v>898</v>
      </c>
      <c r="L14" s="58">
        <f>SUMIFS('bldg_summary All 4-14-21'!$H$5:$H$201,'bldg_summary All 4-14-21'!$A$5:$A$201,$J$4,'bldg_summary All 4-14-21'!$B$5:$B$201,$J14)</f>
        <v>30740</v>
      </c>
      <c r="N14" s="57">
        <v>133</v>
      </c>
      <c r="O14" s="59" t="s">
        <v>899</v>
      </c>
      <c r="P14" s="58">
        <f>SUMIFS('bldg_summary All 4-14-21'!$H$5:$H$201,'bldg_summary All 4-14-21'!$A$5:$A$201,$N$4,'bldg_summary All 4-14-21'!$B$5:$B$201,$N14)</f>
        <v>0</v>
      </c>
    </row>
    <row r="15" spans="1:16" ht="12.95" customHeight="1">
      <c r="A15" s="57">
        <v>13</v>
      </c>
      <c r="B15" s="57" t="s">
        <v>900</v>
      </c>
      <c r="C15" s="147">
        <f>SUMIFS('bldg_summary All 4-14-21'!$H$5:$H$201,'bldg_summary All 4-14-21'!$A$5:$A$201,'FUSION GSF BY LOCATION'!$A$4,'bldg_summary All 4-14-21'!$B$5:$B$201,'FUSION GSF BY LOCATION'!$A15)</f>
        <v>9553</v>
      </c>
      <c r="F15" s="57">
        <v>10</v>
      </c>
      <c r="G15" s="57" t="s">
        <v>901</v>
      </c>
      <c r="H15" s="58">
        <f>SUMIFS('bldg_summary All 4-14-21'!$H$5:$H$201,'bldg_summary All 4-14-21'!$A$5:$A$201,$F$4,'bldg_summary All 4-14-21'!$B$5:$B$201,$F15)</f>
        <v>3360</v>
      </c>
      <c r="J15" s="57">
        <v>10</v>
      </c>
      <c r="K15" s="59" t="s">
        <v>902</v>
      </c>
      <c r="L15" s="58">
        <f>SUMIFS('bldg_summary All 4-14-21'!$H$5:$H$201,'bldg_summary All 4-14-21'!$A$5:$A$201,$J$4,'bldg_summary All 4-14-21'!$B$5:$B$201,$J15)</f>
        <v>20019</v>
      </c>
      <c r="N15" s="57">
        <v>137</v>
      </c>
      <c r="O15" s="57" t="s">
        <v>903</v>
      </c>
      <c r="P15" s="58">
        <f>SUMIFS('bldg_summary All 4-14-21'!$H$5:$H$201,'bldg_summary All 4-14-21'!$A$5:$A$201,$N$4,'bldg_summary All 4-14-21'!$B$5:$B$201,$N15)</f>
        <v>41258</v>
      </c>
    </row>
    <row r="16" spans="1:16" ht="12.95" customHeight="1">
      <c r="A16" s="57">
        <v>14</v>
      </c>
      <c r="B16" s="57" t="s">
        <v>904</v>
      </c>
      <c r="C16" s="147">
        <f>SUMIFS('bldg_summary All 4-14-21'!$H$5:$H$201,'bldg_summary All 4-14-21'!$A$5:$A$201,'FUSION GSF BY LOCATION'!$A$4,'bldg_summary All 4-14-21'!$B$5:$B$201,'FUSION GSF BY LOCATION'!$A16)</f>
        <v>7953</v>
      </c>
      <c r="F16" s="57">
        <v>11</v>
      </c>
      <c r="G16" s="57" t="s">
        <v>905</v>
      </c>
      <c r="H16" s="58">
        <f>SUMIFS('bldg_summary All 4-14-21'!$H$5:$H$201,'bldg_summary All 4-14-21'!$A$5:$A$201,$F$4,'bldg_summary All 4-14-21'!$B$5:$B$201,$F16)</f>
        <v>2880</v>
      </c>
      <c r="J16" s="57">
        <v>11</v>
      </c>
      <c r="K16" s="59" t="s">
        <v>906</v>
      </c>
      <c r="L16" s="58">
        <f>SUMIFS('bldg_summary All 4-14-21'!$H$5:$H$201,'bldg_summary All 4-14-21'!$A$5:$A$201,$J$4,'bldg_summary All 4-14-21'!$B$5:$B$201,$J16)</f>
        <v>1518</v>
      </c>
      <c r="N16" s="57">
        <v>138</v>
      </c>
      <c r="O16" s="57" t="s">
        <v>907</v>
      </c>
      <c r="P16" s="58">
        <f>SUMIFS('bldg_summary All 4-14-21'!$H$5:$H$201,'bldg_summary All 4-14-21'!$A$5:$A$201,$N$4,'bldg_summary All 4-14-21'!$B$5:$B$201,$N16)</f>
        <v>750</v>
      </c>
    </row>
    <row r="17" spans="1:16" ht="12.95" customHeight="1">
      <c r="A17" s="57">
        <v>15</v>
      </c>
      <c r="B17" s="57" t="s">
        <v>908</v>
      </c>
      <c r="C17" s="147">
        <f>SUMIFS('bldg_summary All 4-14-21'!$H$5:$H$201,'bldg_summary All 4-14-21'!$A$5:$A$201,'FUSION GSF BY LOCATION'!$A$4,'bldg_summary All 4-14-21'!$B$5:$B$201,'FUSION GSF BY LOCATION'!$A17)</f>
        <v>22203</v>
      </c>
      <c r="F17" s="57">
        <v>12</v>
      </c>
      <c r="G17" s="57" t="s">
        <v>909</v>
      </c>
      <c r="H17" s="58">
        <f>SUMIFS('bldg_summary All 4-14-21'!$H$5:$H$201,'bldg_summary All 4-14-21'!$A$5:$A$201,$F$4,'bldg_summary All 4-14-21'!$B$5:$B$201,$F17)</f>
        <v>4500</v>
      </c>
      <c r="J17" s="57">
        <v>12</v>
      </c>
      <c r="K17" s="59" t="s">
        <v>910</v>
      </c>
      <c r="L17" s="58">
        <f>SUMIFS('bldg_summary All 4-14-21'!$H$5:$H$201,'bldg_summary All 4-14-21'!$A$5:$A$201,$J$4,'bldg_summary All 4-14-21'!$B$5:$B$201,$J17)</f>
        <v>3600</v>
      </c>
      <c r="N17" s="57">
        <v>139</v>
      </c>
      <c r="O17" s="59" t="s">
        <v>911</v>
      </c>
      <c r="P17" s="58">
        <f>SUMIFS('bldg_summary All 4-14-21'!$H$5:$H$201,'bldg_summary All 4-14-21'!$A$5:$A$201,$N$4,'bldg_summary All 4-14-21'!$B$5:$B$201,$N17)</f>
        <v>960</v>
      </c>
    </row>
    <row r="18" spans="1:16" ht="12.95" customHeight="1">
      <c r="A18" s="57">
        <v>16</v>
      </c>
      <c r="B18" s="57" t="s">
        <v>912</v>
      </c>
      <c r="C18" s="147">
        <f>SUMIFS('bldg_summary All 4-14-21'!$H$5:$H$201,'bldg_summary All 4-14-21'!$A$5:$A$201,'FUSION GSF BY LOCATION'!$A$4,'bldg_summary All 4-14-21'!$B$5:$B$201,'FUSION GSF BY LOCATION'!$A18)</f>
        <v>6800</v>
      </c>
      <c r="F18" s="57">
        <v>13</v>
      </c>
      <c r="G18" s="57" t="s">
        <v>913</v>
      </c>
      <c r="H18" s="58">
        <f>SUMIFS('bldg_summary All 4-14-21'!$H$5:$H$201,'bldg_summary All 4-14-21'!$A$5:$A$201,$F$4,'bldg_summary All 4-14-21'!$B$5:$B$201,$F18)</f>
        <v>8235</v>
      </c>
      <c r="J18" s="57">
        <v>13</v>
      </c>
      <c r="K18" s="59" t="s">
        <v>914</v>
      </c>
      <c r="L18" s="58">
        <f>SUMIFS('bldg_summary All 4-14-21'!$H$5:$H$201,'bldg_summary All 4-14-21'!$A$5:$A$201,$J$4,'bldg_summary All 4-14-21'!$B$5:$B$201,$J18)</f>
        <v>5020</v>
      </c>
      <c r="N18" s="57">
        <v>140</v>
      </c>
      <c r="O18" s="59" t="s">
        <v>915</v>
      </c>
      <c r="P18" s="58">
        <f>SUMIFS('bldg_summary All 4-14-21'!$H$5:$H$201,'bldg_summary All 4-14-21'!$A$5:$A$201,$N$4,'bldg_summary All 4-14-21'!$B$5:$B$201,$N18)</f>
        <v>5760</v>
      </c>
    </row>
    <row r="19" spans="1:16" ht="12.95" customHeight="1">
      <c r="A19" s="165">
        <v>17</v>
      </c>
      <c r="B19" s="165" t="s">
        <v>916</v>
      </c>
      <c r="C19" s="164">
        <f>SUMIFS('bldg_summary All 4-14-21'!$H$5:$H$201,'bldg_summary All 4-14-21'!$A$5:$A$201,'FUSION GSF BY LOCATION'!$A$4,'bldg_summary All 4-14-21'!$B$5:$B$201,'FUSION GSF BY LOCATION'!$A19)</f>
        <v>0</v>
      </c>
      <c r="F19" s="57">
        <v>14</v>
      </c>
      <c r="G19" s="57" t="s">
        <v>917</v>
      </c>
      <c r="H19" s="58">
        <f>SUMIFS('bldg_summary All 4-14-21'!$H$5:$H$201,'bldg_summary All 4-14-21'!$A$5:$A$201,$F$4,'bldg_summary All 4-14-21'!$B$5:$B$201,$F19)</f>
        <v>960</v>
      </c>
      <c r="J19" s="57">
        <v>14</v>
      </c>
      <c r="K19" s="59" t="s">
        <v>918</v>
      </c>
      <c r="L19" s="58">
        <f>SUMIFS('bldg_summary All 4-14-21'!$H$5:$H$201,'bldg_summary All 4-14-21'!$A$5:$A$201,$J$4,'bldg_summary All 4-14-21'!$B$5:$B$201,$J19)</f>
        <v>3360</v>
      </c>
      <c r="O19" s="59"/>
      <c r="P19" s="58"/>
    </row>
    <row r="20" spans="1:16" ht="12.95" customHeight="1">
      <c r="A20" s="57">
        <v>18</v>
      </c>
      <c r="B20" s="57" t="s">
        <v>919</v>
      </c>
      <c r="C20" s="147">
        <f>SUMIFS('bldg_summary All 4-14-21'!$H$5:$H$201,'bldg_summary All 4-14-21'!$A$5:$A$201,'FUSION GSF BY LOCATION'!$A$4,'bldg_summary All 4-14-21'!$B$5:$B$201,'FUSION GSF BY LOCATION'!$A20)</f>
        <v>12897</v>
      </c>
      <c r="F20" s="57">
        <v>15</v>
      </c>
      <c r="G20" s="57" t="s">
        <v>920</v>
      </c>
      <c r="H20" s="58">
        <f>SUMIFS('bldg_summary All 4-14-21'!$H$5:$H$201,'bldg_summary All 4-14-21'!$A$5:$A$201,$F$4,'bldg_summary All 4-14-21'!$B$5:$B$201,$F20)</f>
        <v>960</v>
      </c>
      <c r="J20" s="57">
        <v>15</v>
      </c>
      <c r="K20" s="59" t="s">
        <v>921</v>
      </c>
      <c r="L20" s="58">
        <f>SUMIFS('bldg_summary All 4-14-21'!$H$5:$H$201,'bldg_summary All 4-14-21'!$A$5:$A$201,$J$4,'bldg_summary All 4-14-21'!$B$5:$B$201,$J20)</f>
        <v>8235</v>
      </c>
      <c r="P20" s="61">
        <f>SUM(P6:P18)</f>
        <v>69840</v>
      </c>
    </row>
    <row r="21" spans="1:16" ht="12.95" customHeight="1">
      <c r="A21" s="57">
        <v>19</v>
      </c>
      <c r="B21" s="57" t="s">
        <v>922</v>
      </c>
      <c r="C21" s="147">
        <f>SUMIFS('bldg_summary All 4-14-21'!$H$5:$H$201,'bldg_summary All 4-14-21'!$A$5:$A$201,'FUSION GSF BY LOCATION'!$A$4,'bldg_summary All 4-14-21'!$B$5:$B$201,'FUSION GSF BY LOCATION'!$A21)</f>
        <v>6597</v>
      </c>
      <c r="F21" s="57">
        <v>16</v>
      </c>
      <c r="G21" s="57" t="s">
        <v>923</v>
      </c>
      <c r="H21" s="58">
        <f>SUMIFS('bldg_summary All 4-14-21'!$H$5:$H$201,'bldg_summary All 4-14-21'!$A$5:$A$201,$F$4,'bldg_summary All 4-14-21'!$B$5:$B$201,$F21)</f>
        <v>960</v>
      </c>
      <c r="J21" s="57">
        <v>17</v>
      </c>
      <c r="K21" s="59" t="s">
        <v>924</v>
      </c>
      <c r="L21" s="58">
        <f>SUMIFS('bldg_summary All 4-14-21'!$H$5:$H$201,'bldg_summary All 4-14-21'!$A$5:$A$201,$J$4,'bldg_summary All 4-14-21'!$B$5:$B$201,$J21)</f>
        <v>960</v>
      </c>
      <c r="O21" s="62" t="s">
        <v>925</v>
      </c>
    </row>
    <row r="22" spans="1:16" ht="12.95" customHeight="1">
      <c r="A22" s="57">
        <v>20</v>
      </c>
      <c r="B22" s="57" t="s">
        <v>926</v>
      </c>
      <c r="C22" s="147">
        <f>SUMIFS('bldg_summary All 4-14-21'!$H$5:$H$201,'bldg_summary All 4-14-21'!$A$5:$A$201,'FUSION GSF BY LOCATION'!$A$4,'bldg_summary All 4-14-21'!$B$5:$B$201,'FUSION GSF BY LOCATION'!$A22)</f>
        <v>28642</v>
      </c>
      <c r="F22" s="57">
        <v>18</v>
      </c>
      <c r="G22" s="57" t="s">
        <v>927</v>
      </c>
      <c r="H22" s="58">
        <f>SUMIFS('bldg_summary All 4-14-21'!$H$5:$H$201,'bldg_summary All 4-14-21'!$A$5:$A$201,$F$4,'bldg_summary All 4-14-21'!$B$5:$B$201,$F22)</f>
        <v>960</v>
      </c>
      <c r="J22" s="57">
        <v>18</v>
      </c>
      <c r="K22" s="59" t="s">
        <v>928</v>
      </c>
      <c r="L22" s="58">
        <f>SUMIFS('bldg_summary All 4-14-21'!$H$5:$H$201,'bldg_summary All 4-14-21'!$A$5:$A$201,$J$4,'bldg_summary All 4-14-21'!$B$5:$B$201,$J22)</f>
        <v>960</v>
      </c>
      <c r="O22" s="57"/>
      <c r="P22" s="63"/>
    </row>
    <row r="23" spans="1:16" ht="12.95" customHeight="1">
      <c r="A23" s="57">
        <v>21</v>
      </c>
      <c r="B23" s="57" t="s">
        <v>929</v>
      </c>
      <c r="C23" s="147">
        <f>SUMIFS('bldg_summary All 4-14-21'!$H$5:$H$201,'bldg_summary All 4-14-21'!$A$5:$A$201,'FUSION GSF BY LOCATION'!$A$4,'bldg_summary All 4-14-21'!$B$5:$B$201,'FUSION GSF BY LOCATION'!$A23)</f>
        <v>41507</v>
      </c>
      <c r="F23" s="57">
        <v>19</v>
      </c>
      <c r="G23" s="57" t="s">
        <v>930</v>
      </c>
      <c r="H23" s="58">
        <f>SUMIFS('bldg_summary All 4-14-21'!$H$5:$H$201,'bldg_summary All 4-14-21'!$A$5:$A$201,$F$4,'bldg_summary All 4-14-21'!$B$5:$B$201,$F23)</f>
        <v>960</v>
      </c>
      <c r="J23" s="57">
        <v>19</v>
      </c>
      <c r="K23" s="59" t="s">
        <v>931</v>
      </c>
      <c r="L23" s="58">
        <f>SUMIFS('bldg_summary All 4-14-21'!$H$5:$H$201,'bldg_summary All 4-14-21'!$A$5:$A$201,$J$4,'bldg_summary All 4-14-21'!$B$5:$B$201,$J23)</f>
        <v>960</v>
      </c>
    </row>
    <row r="24" spans="1:16" ht="12.95" customHeight="1" thickBot="1">
      <c r="A24" s="57">
        <v>22</v>
      </c>
      <c r="B24" s="57" t="s">
        <v>932</v>
      </c>
      <c r="C24" s="147">
        <f>SUMIFS('bldg_summary All 4-14-21'!$H$5:$H$201,'bldg_summary All 4-14-21'!$A$5:$A$201,'FUSION GSF BY LOCATION'!$A$4,'bldg_summary All 4-14-21'!$B$5:$B$201,'FUSION GSF BY LOCATION'!$A24)</f>
        <v>26335</v>
      </c>
      <c r="F24" s="57">
        <v>20</v>
      </c>
      <c r="G24" s="57" t="s">
        <v>933</v>
      </c>
      <c r="H24" s="58">
        <f>SUMIFS('bldg_summary All 4-14-21'!$H$5:$H$201,'bldg_summary All 4-14-21'!$A$5:$A$201,$F$4,'bldg_summary All 4-14-21'!$B$5:$B$201,$F24)</f>
        <v>960</v>
      </c>
      <c r="J24" s="57">
        <v>20</v>
      </c>
      <c r="K24" s="59" t="s">
        <v>934</v>
      </c>
      <c r="L24" s="58">
        <f>SUMIFS('bldg_summary All 4-14-21'!$H$5:$H$201,'bldg_summary All 4-14-21'!$A$5:$A$201,$J$4,'bldg_summary All 4-14-21'!$B$5:$B$201,$J24)</f>
        <v>44862</v>
      </c>
      <c r="O24" s="1" t="s">
        <v>935</v>
      </c>
      <c r="P24" s="64">
        <f>SUM(P20:P23)</f>
        <v>69840</v>
      </c>
    </row>
    <row r="25" spans="1:16" ht="12.95" customHeight="1" thickTop="1">
      <c r="A25" s="57">
        <v>23</v>
      </c>
      <c r="B25" s="57" t="s">
        <v>936</v>
      </c>
      <c r="C25" s="147">
        <f>SUMIFS('bldg_summary All 4-14-21'!$H$5:$H$201,'bldg_summary All 4-14-21'!$A$5:$A$201,'FUSION GSF BY LOCATION'!$A$4,'bldg_summary All 4-14-21'!$B$5:$B$201,'FUSION GSF BY LOCATION'!$A25)</f>
        <v>1763</v>
      </c>
      <c r="F25" s="57">
        <v>21</v>
      </c>
      <c r="G25" s="57" t="s">
        <v>937</v>
      </c>
      <c r="H25" s="58">
        <f>SUMIFS('bldg_summary All 4-14-21'!$H$5:$H$201,'bldg_summary All 4-14-21'!$A$5:$A$201,$F$4,'bldg_summary All 4-14-21'!$B$5:$B$201,$F25)</f>
        <v>960</v>
      </c>
      <c r="J25" s="57">
        <v>21</v>
      </c>
      <c r="K25" s="59" t="s">
        <v>938</v>
      </c>
      <c r="L25" s="58">
        <f>SUMIFS('bldg_summary All 4-14-21'!$H$5:$H$201,'bldg_summary All 4-14-21'!$A$5:$A$201,$J$4,'bldg_summary All 4-14-21'!$B$5:$B$201,$J25)</f>
        <v>940</v>
      </c>
    </row>
    <row r="26" spans="1:16" ht="12.95" customHeight="1">
      <c r="A26" s="57">
        <v>24</v>
      </c>
      <c r="B26" s="57" t="s">
        <v>939</v>
      </c>
      <c r="C26" s="147">
        <f>SUMIFS('bldg_summary All 4-14-21'!$H$5:$H$201,'bldg_summary All 4-14-21'!$A$5:$A$201,'FUSION GSF BY LOCATION'!$A$4,'bldg_summary All 4-14-21'!$B$5:$B$201,'FUSION GSF BY LOCATION'!$A26)</f>
        <v>38803</v>
      </c>
      <c r="F26" s="57">
        <v>22</v>
      </c>
      <c r="G26" s="57" t="s">
        <v>940</v>
      </c>
      <c r="H26" s="58">
        <f>SUMIFS('bldg_summary All 4-14-21'!$H$5:$H$201,'bldg_summary All 4-14-21'!$A$5:$A$201,$F$4,'bldg_summary All 4-14-21'!$B$5:$B$201,$F26)</f>
        <v>960</v>
      </c>
      <c r="J26" s="57">
        <v>22</v>
      </c>
      <c r="K26" s="59" t="s">
        <v>941</v>
      </c>
      <c r="L26" s="58">
        <f>SUMIFS('bldg_summary All 4-14-21'!$H$5:$H$201,'bldg_summary All 4-14-21'!$A$5:$A$201,$J$4,'bldg_summary All 4-14-21'!$B$5:$B$201,$J26)</f>
        <v>940</v>
      </c>
    </row>
    <row r="27" spans="1:16" ht="12.95" customHeight="1">
      <c r="A27" s="57">
        <v>26</v>
      </c>
      <c r="B27" s="57" t="s">
        <v>942</v>
      </c>
      <c r="C27" s="147">
        <f>SUMIFS('bldg_summary All 4-14-21'!$H$5:$H$201,'bldg_summary All 4-14-21'!$A$5:$A$201,'FUSION GSF BY LOCATION'!$A$4,'bldg_summary All 4-14-21'!$B$5:$B$201,'FUSION GSF BY LOCATION'!$A27)</f>
        <v>8717</v>
      </c>
      <c r="F27" s="57">
        <v>23</v>
      </c>
      <c r="G27" s="57" t="s">
        <v>943</v>
      </c>
      <c r="H27" s="58">
        <f>SUMIFS('bldg_summary All 4-14-21'!$H$5:$H$201,'bldg_summary All 4-14-21'!$A$5:$A$201,$F$4,'bldg_summary All 4-14-21'!$B$5:$B$201,$F27)</f>
        <v>960</v>
      </c>
      <c r="J27" s="57">
        <v>23</v>
      </c>
      <c r="K27" s="59" t="s">
        <v>944</v>
      </c>
      <c r="L27" s="58">
        <f>SUMIFS('bldg_summary All 4-14-21'!$H$5:$H$201,'bldg_summary All 4-14-21'!$A$5:$A$201,$J$4,'bldg_summary All 4-14-21'!$B$5:$B$201,$J27)</f>
        <v>25025</v>
      </c>
    </row>
    <row r="28" spans="1:16" ht="12.95" customHeight="1">
      <c r="A28" s="57">
        <v>30</v>
      </c>
      <c r="B28" s="57" t="s">
        <v>945</v>
      </c>
      <c r="C28" s="147">
        <f>SUMIFS('bldg_summary All 4-14-21'!$H$5:$H$201,'bldg_summary All 4-14-21'!$A$5:$A$201,'FUSION GSF BY LOCATION'!$A$4,'bldg_summary All 4-14-21'!$B$5:$B$201,'FUSION GSF BY LOCATION'!$A28)</f>
        <v>20812</v>
      </c>
      <c r="F28" s="57">
        <v>24</v>
      </c>
      <c r="G28" s="57" t="s">
        <v>946</v>
      </c>
      <c r="H28" s="58">
        <f>SUMIFS('bldg_summary All 4-14-21'!$H$5:$H$201,'bldg_summary All 4-14-21'!$A$5:$A$201,$F$4,'bldg_summary All 4-14-21'!$B$5:$B$201,$F28)</f>
        <v>1920</v>
      </c>
      <c r="J28" s="57">
        <v>24</v>
      </c>
      <c r="K28" s="59" t="s">
        <v>947</v>
      </c>
      <c r="L28" s="58">
        <f>SUMIFS('bldg_summary All 4-14-21'!$H$5:$H$201,'bldg_summary All 4-14-21'!$A$5:$A$201,$J$4,'bldg_summary All 4-14-21'!$B$5:$B$201,$J28)</f>
        <v>1920</v>
      </c>
    </row>
    <row r="29" spans="1:16" ht="12.95" customHeight="1">
      <c r="A29" s="57">
        <v>31</v>
      </c>
      <c r="B29" s="57" t="s">
        <v>948</v>
      </c>
      <c r="C29" s="147">
        <f>SUMIFS('bldg_summary All 4-14-21'!$H$5:$H$201,'bldg_summary All 4-14-21'!$A$5:$A$201,'FUSION GSF BY LOCATION'!$A$4,'bldg_summary All 4-14-21'!$B$5:$B$201,'FUSION GSF BY LOCATION'!$A29)</f>
        <v>13729</v>
      </c>
      <c r="F29" s="57">
        <v>25</v>
      </c>
      <c r="G29" s="57" t="s">
        <v>949</v>
      </c>
      <c r="H29" s="58">
        <f>SUMIFS('bldg_summary All 4-14-21'!$H$5:$H$201,'bldg_summary All 4-14-21'!$A$5:$A$201,$F$4,'bldg_summary All 4-14-21'!$B$5:$B$201,$F29)</f>
        <v>960</v>
      </c>
      <c r="J29" s="57">
        <v>25</v>
      </c>
      <c r="K29" s="59" t="s">
        <v>950</v>
      </c>
      <c r="L29" s="58">
        <f>SUMIFS('bldg_summary All 4-14-21'!$H$5:$H$201,'bldg_summary All 4-14-21'!$A$5:$A$201,$J$4,'bldg_summary All 4-14-21'!$B$5:$B$201,$J29)</f>
        <v>15468</v>
      </c>
    </row>
    <row r="30" spans="1:16" ht="12.95" customHeight="1">
      <c r="A30" s="57">
        <v>32</v>
      </c>
      <c r="B30" s="57" t="s">
        <v>951</v>
      </c>
      <c r="C30" s="147">
        <f>SUMIFS('bldg_summary All 4-14-21'!$H$5:$H$201,'bldg_summary All 4-14-21'!$A$5:$A$201,'FUSION GSF BY LOCATION'!$A$4,'bldg_summary All 4-14-21'!$B$5:$B$201,'FUSION GSF BY LOCATION'!$A30)</f>
        <v>22229</v>
      </c>
      <c r="F30" s="57">
        <v>26</v>
      </c>
      <c r="G30" s="57" t="s">
        <v>952</v>
      </c>
      <c r="H30" s="58">
        <f>SUMIFS('bldg_summary All 4-14-21'!$H$5:$H$201,'bldg_summary All 4-14-21'!$A$5:$A$201,$F$4,'bldg_summary All 4-14-21'!$B$5:$B$201,$F30)</f>
        <v>960</v>
      </c>
      <c r="J30" s="57">
        <v>26</v>
      </c>
      <c r="K30" s="59" t="s">
        <v>953</v>
      </c>
      <c r="L30" s="58">
        <f>SUMIFS('bldg_summary All 4-14-21'!$H$5:$H$201,'bldg_summary All 4-14-21'!$A$5:$A$201,$J$4,'bldg_summary All 4-14-21'!$B$5:$B$201,$J30)</f>
        <v>2880</v>
      </c>
    </row>
    <row r="31" spans="1:16" ht="12.95" customHeight="1">
      <c r="A31" s="57">
        <v>33</v>
      </c>
      <c r="B31" s="57" t="s">
        <v>954</v>
      </c>
      <c r="C31" s="147">
        <f>SUMIFS('bldg_summary All 4-14-21'!$H$5:$H$201,'bldg_summary All 4-14-21'!$A$5:$A$201,'FUSION GSF BY LOCATION'!$A$4,'bldg_summary All 4-14-21'!$B$5:$B$201,'FUSION GSF BY LOCATION'!$A31)</f>
        <v>854</v>
      </c>
      <c r="F31" s="57">
        <v>27</v>
      </c>
      <c r="G31" s="57" t="s">
        <v>955</v>
      </c>
      <c r="H31" s="58">
        <f>SUMIFS('bldg_summary All 4-14-21'!$H$5:$H$201,'bldg_summary All 4-14-21'!$A$5:$A$201,$F$4,'bldg_summary All 4-14-21'!$B$5:$B$201,$F31)</f>
        <v>960</v>
      </c>
      <c r="J31" s="57">
        <v>27</v>
      </c>
      <c r="K31" s="59" t="s">
        <v>956</v>
      </c>
      <c r="L31" s="58">
        <f>SUMIFS('bldg_summary All 4-14-21'!$H$5:$H$201,'bldg_summary All 4-14-21'!$A$5:$A$201,$J$4,'bldg_summary All 4-14-21'!$B$5:$B$201,$J31)</f>
        <v>1920</v>
      </c>
    </row>
    <row r="32" spans="1:16" ht="12.95" customHeight="1">
      <c r="A32" s="57">
        <v>34</v>
      </c>
      <c r="B32" s="57" t="s">
        <v>957</v>
      </c>
      <c r="C32" s="147">
        <f>SUMIFS('bldg_summary All 4-14-21'!$H$5:$H$201,'bldg_summary All 4-14-21'!$A$5:$A$201,'FUSION GSF BY LOCATION'!$A$4,'bldg_summary All 4-14-21'!$B$5:$B$201,'FUSION GSF BY LOCATION'!$A32)</f>
        <v>2400</v>
      </c>
      <c r="F32" s="57">
        <v>28</v>
      </c>
      <c r="G32" s="57" t="s">
        <v>958</v>
      </c>
      <c r="H32" s="58">
        <f>SUMIFS('bldg_summary All 4-14-21'!$H$5:$H$201,'bldg_summary All 4-14-21'!$A$5:$A$201,$F$4,'bldg_summary All 4-14-21'!$B$5:$B$201,$F32)</f>
        <v>960</v>
      </c>
      <c r="J32" s="57">
        <v>28</v>
      </c>
      <c r="K32" s="59" t="s">
        <v>959</v>
      </c>
      <c r="L32" s="58">
        <f>SUMIFS('bldg_summary All 4-14-21'!$H$5:$H$201,'bldg_summary All 4-14-21'!$A$5:$A$201,$J$4,'bldg_summary All 4-14-21'!$B$5:$B$201,$J32)</f>
        <v>960</v>
      </c>
    </row>
    <row r="33" spans="1:12" ht="12.95" customHeight="1">
      <c r="A33" s="57">
        <v>35</v>
      </c>
      <c r="B33" s="57" t="s">
        <v>960</v>
      </c>
      <c r="C33" s="147">
        <f>SUMIFS('bldg_summary All 4-14-21'!$H$5:$H$201,'bldg_summary All 4-14-21'!$A$5:$A$201,'FUSION GSF BY LOCATION'!$A$4,'bldg_summary All 4-14-21'!$B$5:$B$201,'FUSION GSF BY LOCATION'!$A33)</f>
        <v>5952</v>
      </c>
      <c r="F33" s="57">
        <v>29</v>
      </c>
      <c r="G33" s="57" t="s">
        <v>961</v>
      </c>
      <c r="H33" s="58">
        <f>SUMIFS('bldg_summary All 4-14-21'!$H$5:$H$201,'bldg_summary All 4-14-21'!$A$5:$A$201,$F$4,'bldg_summary All 4-14-21'!$B$5:$B$201,$F33)</f>
        <v>1920</v>
      </c>
      <c r="J33" s="57">
        <v>29</v>
      </c>
      <c r="K33" s="59" t="s">
        <v>962</v>
      </c>
      <c r="L33" s="58">
        <f>SUMIFS('bldg_summary All 4-14-21'!$H$5:$H$201,'bldg_summary All 4-14-21'!$A$5:$A$201,$J$4,'bldg_summary All 4-14-21'!$B$5:$B$201,$J33)</f>
        <v>960</v>
      </c>
    </row>
    <row r="34" spans="1:12" ht="12.95" customHeight="1">
      <c r="A34" s="57">
        <v>36</v>
      </c>
      <c r="B34" s="57" t="s">
        <v>963</v>
      </c>
      <c r="C34" s="147">
        <f>SUMIFS('bldg_summary All 4-14-21'!$H$5:$H$201,'bldg_summary All 4-14-21'!$A$5:$A$201,'FUSION GSF BY LOCATION'!$A$4,'bldg_summary All 4-14-21'!$B$5:$B$201,'FUSION GSF BY LOCATION'!$A34)</f>
        <v>4308</v>
      </c>
      <c r="F34" s="57">
        <v>30</v>
      </c>
      <c r="G34" s="57" t="s">
        <v>964</v>
      </c>
      <c r="H34" s="58">
        <f>SUMIFS('bldg_summary All 4-14-21'!$H$5:$H$201,'bldg_summary All 4-14-21'!$A$5:$A$201,$F$4,'bldg_summary All 4-14-21'!$B$5:$B$201,$F34)</f>
        <v>960</v>
      </c>
      <c r="J34" s="57">
        <v>30</v>
      </c>
      <c r="K34" s="59" t="s">
        <v>965</v>
      </c>
      <c r="L34" s="58">
        <f>SUMIFS('bldg_summary All 4-14-21'!$H$5:$H$201,'bldg_summary All 4-14-21'!$A$5:$A$201,$J$4,'bldg_summary All 4-14-21'!$B$5:$B$201,$J34)</f>
        <v>960</v>
      </c>
    </row>
    <row r="35" spans="1:12" ht="12.95" customHeight="1">
      <c r="A35" s="57">
        <v>37</v>
      </c>
      <c r="B35" s="57" t="s">
        <v>966</v>
      </c>
      <c r="C35" s="147">
        <f>SUMIFS('bldg_summary All 4-14-21'!$H$5:$H$201,'bldg_summary All 4-14-21'!$A$5:$A$201,'FUSION GSF BY LOCATION'!$A$4,'bldg_summary All 4-14-21'!$B$5:$B$201,'FUSION GSF BY LOCATION'!$A35)</f>
        <v>108234</v>
      </c>
      <c r="F35" s="57">
        <v>31</v>
      </c>
      <c r="G35" s="57" t="s">
        <v>967</v>
      </c>
      <c r="H35" s="60">
        <f>SUMIFS('bldg_summary All 4-14-21'!$H$5:$H$201,'bldg_summary All 4-14-21'!$A$5:$A$201,$F$4,'bldg_summary All 4-14-21'!$B$5:$B$201,$F35)</f>
        <v>960</v>
      </c>
      <c r="J35" s="57">
        <v>31</v>
      </c>
      <c r="K35" s="59" t="s">
        <v>968</v>
      </c>
      <c r="L35" s="58">
        <f>SUMIFS('bldg_summary All 4-14-21'!$H$5:$H$201,'bldg_summary All 4-14-21'!$A$5:$A$201,$J$4,'bldg_summary All 4-14-21'!$B$5:$B$201,$J35)</f>
        <v>1920</v>
      </c>
    </row>
    <row r="36" spans="1:12" ht="12.95" customHeight="1">
      <c r="A36" s="57">
        <v>38</v>
      </c>
      <c r="B36" s="57" t="s">
        <v>969</v>
      </c>
      <c r="C36" s="147">
        <f>SUMIFS('bldg_summary All 4-14-21'!$H$5:$H$201,'bldg_summary All 4-14-21'!$A$5:$A$201,'FUSION GSF BY LOCATION'!$A$4,'bldg_summary All 4-14-21'!$B$5:$B$201,'FUSION GSF BY LOCATION'!$A36)</f>
        <v>960</v>
      </c>
      <c r="F36" s="142">
        <v>53</v>
      </c>
      <c r="G36" s="142" t="s">
        <v>970</v>
      </c>
      <c r="H36" s="433">
        <f>SUMIFS('bldg_summary All 4-14-21'!$H$5:$H$201,'bldg_summary All 4-14-21'!$A$5:$A$201,$F$4,'bldg_summary All 4-14-21'!$B$5:$B$201,$F36)</f>
        <v>13500</v>
      </c>
      <c r="J36" s="57">
        <v>32</v>
      </c>
      <c r="K36" s="59" t="s">
        <v>971</v>
      </c>
      <c r="L36" s="58">
        <f>SUMIFS('bldg_summary All 4-14-21'!$H$5:$H$201,'bldg_summary All 4-14-21'!$A$5:$A$201,$J$4,'bldg_summary All 4-14-21'!$B$5:$B$201,$J36)</f>
        <v>1920</v>
      </c>
    </row>
    <row r="37" spans="1:12" ht="12.95" customHeight="1">
      <c r="A37" s="57">
        <v>39</v>
      </c>
      <c r="B37" s="57" t="s">
        <v>972</v>
      </c>
      <c r="C37" s="147">
        <f>SUMIFS('bldg_summary All 4-14-21'!$H$5:$H$201,'bldg_summary All 4-14-21'!$A$5:$A$201,'FUSION GSF BY LOCATION'!$A$4,'bldg_summary All 4-14-21'!$B$5:$B$201,'FUSION GSF BY LOCATION'!$A37)</f>
        <v>960</v>
      </c>
      <c r="F37" s="142">
        <v>54</v>
      </c>
      <c r="G37" s="142" t="s">
        <v>973</v>
      </c>
      <c r="H37" s="433">
        <f>SUMIFS('bldg_summary All 4-14-21'!$H$5:$H$201,'bldg_summary All 4-14-21'!$A$5:$A$201,$F$4,'bldg_summary All 4-14-21'!$B$5:$B$201,$F37)</f>
        <v>9000</v>
      </c>
      <c r="J37" s="57">
        <v>33</v>
      </c>
      <c r="K37" s="59" t="s">
        <v>974</v>
      </c>
      <c r="L37" s="58">
        <f>SUMIFS('bldg_summary All 4-14-21'!$H$5:$H$201,'bldg_summary All 4-14-21'!$A$5:$A$201,$J$4,'bldg_summary All 4-14-21'!$B$5:$B$201,$J37)</f>
        <v>198</v>
      </c>
    </row>
    <row r="38" spans="1:12" ht="12.95" customHeight="1">
      <c r="A38" s="57">
        <v>41</v>
      </c>
      <c r="B38" s="57" t="s">
        <v>975</v>
      </c>
      <c r="C38" s="147">
        <f>SUMIFS('bldg_summary All 4-14-21'!$H$5:$H$201,'bldg_summary All 4-14-21'!$A$5:$A$201,'FUSION GSF BY LOCATION'!$A$4,'bldg_summary All 4-14-21'!$B$5:$B$201,'FUSION GSF BY LOCATION'!$A38)</f>
        <v>1050</v>
      </c>
      <c r="F38" s="142">
        <v>55</v>
      </c>
      <c r="G38" s="142" t="s">
        <v>976</v>
      </c>
      <c r="H38" s="433">
        <f>SUMIFS('bldg_summary All 4-14-21'!$H$5:$H$201,'bldg_summary All 4-14-21'!$A$5:$A$201,$F$4,'bldg_summary All 4-14-21'!$B$5:$B$201,$F38)</f>
        <v>9000</v>
      </c>
      <c r="J38" s="57">
        <v>34</v>
      </c>
      <c r="K38" s="59" t="s">
        <v>977</v>
      </c>
      <c r="L38" s="58">
        <f>SUMIFS('bldg_summary All 4-14-21'!$H$5:$H$201,'bldg_summary All 4-14-21'!$A$5:$A$201,$J$4,'bldg_summary All 4-14-21'!$B$5:$B$201,$J38)</f>
        <v>100</v>
      </c>
    </row>
    <row r="39" spans="1:12" ht="12.95" customHeight="1">
      <c r="A39" s="57">
        <v>42</v>
      </c>
      <c r="B39" s="57" t="s">
        <v>978</v>
      </c>
      <c r="C39" s="147">
        <f>SUMIFS('bldg_summary All 4-14-21'!$H$5:$H$201,'bldg_summary All 4-14-21'!$A$5:$A$201,'FUSION GSF BY LOCATION'!$A$4,'bldg_summary All 4-14-21'!$B$5:$B$201,'FUSION GSF BY LOCATION'!$A39)</f>
        <v>0</v>
      </c>
      <c r="F39" s="142">
        <v>51</v>
      </c>
      <c r="G39" s="142" t="s">
        <v>979</v>
      </c>
      <c r="H39" s="433">
        <f>SUMIFS('bldg_summary All 4-14-21'!$H$5:$H$201,'bldg_summary All 4-14-21'!$A$5:$A$201,$F$4,'bldg_summary All 4-14-21'!$B$5:$B$201,$F39)</f>
        <v>480</v>
      </c>
      <c r="J39" s="57">
        <v>35</v>
      </c>
      <c r="K39" s="59" t="s">
        <v>980</v>
      </c>
      <c r="L39" s="58">
        <f>SUMIFS('bldg_summary All 4-14-21'!$H$5:$H$201,'bldg_summary All 4-14-21'!$A$5:$A$201,$J$4,'bldg_summary All 4-14-21'!$B$5:$B$201,$J39)</f>
        <v>415</v>
      </c>
    </row>
    <row r="40" spans="1:12" ht="12.95" customHeight="1">
      <c r="A40" s="57">
        <v>43</v>
      </c>
      <c r="B40" s="57" t="s">
        <v>981</v>
      </c>
      <c r="C40" s="164">
        <f>SUMIFS('bldg_summary All 4-14-21'!$H$5:$H$201,'bldg_summary All 4-14-21'!$A$5:$A$201,'FUSION GSF BY LOCATION'!$A$4,'bldg_summary All 4-14-21'!$B$5:$B$201,'FUSION GSF BY LOCATION'!$A40)</f>
        <v>734</v>
      </c>
      <c r="F40" s="142">
        <v>52</v>
      </c>
      <c r="G40" s="142" t="s">
        <v>982</v>
      </c>
      <c r="H40" s="433">
        <f>SUMIFS('bldg_summary All 4-14-21'!$H$5:$H$201,'bldg_summary All 4-14-21'!$A$5:$A$201,$F$4,'bldg_summary All 4-14-21'!$B$5:$B$201,$F40)</f>
        <v>480</v>
      </c>
      <c r="J40" s="57">
        <v>36</v>
      </c>
      <c r="K40" s="59" t="s">
        <v>983</v>
      </c>
      <c r="L40" s="58">
        <f>SUMIFS('bldg_summary All 4-14-21'!$H$5:$H$201,'bldg_summary All 4-14-21'!$A$5:$A$201,$J$4,'bldg_summary All 4-14-21'!$B$5:$B$201,$J40)</f>
        <v>840</v>
      </c>
    </row>
    <row r="41" spans="1:12" ht="12.95" customHeight="1">
      <c r="A41" s="57">
        <v>46</v>
      </c>
      <c r="B41" s="57" t="s">
        <v>984</v>
      </c>
      <c r="C41" s="164">
        <f>SUMIFS('bldg_summary All 4-14-21'!$H$5:$H$201,'bldg_summary All 4-14-21'!$A$5:$A$201,'FUSION GSF BY LOCATION'!$A$4,'bldg_summary All 4-14-21'!$B$5:$B$201,'FUSION GSF BY LOCATION'!$A41)</f>
        <v>0</v>
      </c>
      <c r="F41" s="142">
        <v>56</v>
      </c>
      <c r="G41" s="142" t="s">
        <v>985</v>
      </c>
      <c r="H41" s="433">
        <f>SUMIFS('bldg_summary All 4-14-21'!$H$5:$H$201,'bldg_summary All 4-14-21'!$A$5:$A$201,$F$4,'bldg_summary All 4-14-21'!$B$5:$B$201,$F41)</f>
        <v>960</v>
      </c>
      <c r="J41" s="57">
        <v>37</v>
      </c>
      <c r="K41" s="59" t="s">
        <v>986</v>
      </c>
      <c r="L41" s="58">
        <f>SUMIFS('bldg_summary All 4-14-21'!$H$5:$H$201,'bldg_summary All 4-14-21'!$A$5:$A$201,$J$4,'bldg_summary All 4-14-21'!$B$5:$B$201,$J41)</f>
        <v>270</v>
      </c>
    </row>
    <row r="42" spans="1:12" ht="12.95" customHeight="1">
      <c r="A42" s="57">
        <v>47</v>
      </c>
      <c r="B42" s="57" t="s">
        <v>987</v>
      </c>
      <c r="C42" s="147">
        <f>SUMIFS('bldg_summary All 4-14-21'!$H$5:$H$201,'bldg_summary All 4-14-21'!$A$5:$A$201,'FUSION GSF BY LOCATION'!$A$4,'bldg_summary All 4-14-21'!$B$5:$B$201,'FUSION GSF BY LOCATION'!$A42)</f>
        <v>960</v>
      </c>
      <c r="F42" s="142">
        <v>57</v>
      </c>
      <c r="G42" s="142" t="s">
        <v>988</v>
      </c>
      <c r="H42" s="433">
        <f>SUMIFS('bldg_summary All 4-14-21'!$H$5:$H$201,'bldg_summary All 4-14-21'!$A$5:$A$201,$F$4,'bldg_summary All 4-14-21'!$B$5:$B$201,$F42)</f>
        <v>960</v>
      </c>
      <c r="J42" s="57">
        <v>38</v>
      </c>
      <c r="K42" s="59" t="s">
        <v>989</v>
      </c>
      <c r="L42" s="58">
        <f>SUMIFS('bldg_summary All 4-14-21'!$H$5:$H$201,'bldg_summary All 4-14-21'!$A$5:$A$201,$J$4,'bldg_summary All 4-14-21'!$B$5:$B$201,$J42)</f>
        <v>480</v>
      </c>
    </row>
    <row r="43" spans="1:12" ht="12.95" customHeight="1">
      <c r="A43" s="57">
        <v>48</v>
      </c>
      <c r="B43" s="57" t="s">
        <v>990</v>
      </c>
      <c r="C43" s="147">
        <f>SUMIFS('bldg_summary All 4-14-21'!$H$5:$H$201,'bldg_summary All 4-14-21'!$A$5:$A$201,'FUSION GSF BY LOCATION'!$A$4,'bldg_summary All 4-14-21'!$B$5:$B$201,'FUSION GSF BY LOCATION'!$A43)</f>
        <v>450000</v>
      </c>
      <c r="F43" s="142">
        <v>58</v>
      </c>
      <c r="G43" s="142" t="s">
        <v>991</v>
      </c>
      <c r="H43" s="433">
        <f>SUMIFS('bldg_summary All 4-14-21'!$H$5:$H$201,'bldg_summary All 4-14-21'!$A$5:$A$201,$F$4,'bldg_summary All 4-14-21'!$B$5:$B$201,$F43)</f>
        <v>960</v>
      </c>
      <c r="J43" s="57">
        <v>39</v>
      </c>
      <c r="K43" s="59" t="s">
        <v>992</v>
      </c>
      <c r="L43" s="58">
        <f>SUMIFS('bldg_summary All 4-14-21'!$H$5:$H$201,'bldg_summary All 4-14-21'!$A$5:$A$201,$J$4,'bldg_summary All 4-14-21'!$B$5:$B$201,$J43)</f>
        <v>3534</v>
      </c>
    </row>
    <row r="44" spans="1:12" ht="12.95" customHeight="1">
      <c r="A44" s="57">
        <v>136</v>
      </c>
      <c r="B44" s="57" t="s">
        <v>993</v>
      </c>
      <c r="C44" s="147">
        <f>SUMIFS('bldg_summary All 4-14-21'!$H$5:$H$201,'bldg_summary All 4-14-21'!$A$5:$A$201,'FUSION GSF BY LOCATION'!$A$4,'bldg_summary All 4-14-21'!$B$5:$B$201,'FUSION GSF BY LOCATION'!$A44)</f>
        <v>10000</v>
      </c>
      <c r="F44" s="142">
        <v>59</v>
      </c>
      <c r="G44" s="142" t="s">
        <v>994</v>
      </c>
      <c r="H44" s="433">
        <f>SUMIFS('bldg_summary All 4-14-21'!$H$5:$H$201,'bldg_summary All 4-14-21'!$A$5:$A$201,$F$4,'bldg_summary All 4-14-21'!$B$5:$B$201,$F44)</f>
        <v>960</v>
      </c>
      <c r="J44" s="57"/>
      <c r="K44" s="59"/>
      <c r="L44" s="58"/>
    </row>
    <row r="45" spans="1:12" ht="12.95" customHeight="1">
      <c r="A45" s="57">
        <v>161</v>
      </c>
      <c r="B45" s="57" t="s">
        <v>995</v>
      </c>
      <c r="C45" s="147">
        <f>SUMIFS('bldg_summary All 4-14-21'!$H$5:$H$201,'bldg_summary All 4-14-21'!$A$5:$A$201,'FUSION GSF BY LOCATION'!$A$4,'bldg_summary All 4-14-21'!$B$5:$B$201,'FUSION GSF BY LOCATION'!$A45)</f>
        <v>1200</v>
      </c>
      <c r="F45" s="142">
        <v>60</v>
      </c>
      <c r="G45" s="142" t="s">
        <v>996</v>
      </c>
      <c r="H45" s="433">
        <f>SUMIFS('bldg_summary All 4-14-21'!$H$5:$H$201,'bldg_summary All 4-14-21'!$A$5:$A$201,$F$4,'bldg_summary All 4-14-21'!$B$5:$B$201,$F45)</f>
        <v>37734</v>
      </c>
      <c r="J45" s="57"/>
      <c r="K45" s="59"/>
      <c r="L45" s="61">
        <f>SUM(L6:L43)</f>
        <v>241134</v>
      </c>
    </row>
    <row r="46" spans="1:12" ht="12.95" customHeight="1">
      <c r="A46" s="57">
        <v>162</v>
      </c>
      <c r="B46" s="57" t="s">
        <v>997</v>
      </c>
      <c r="C46" s="147">
        <f>SUMIFS('bldg_summary All 4-14-21'!$H$5:$H$201,'bldg_summary All 4-14-21'!$A$5:$A$201,'FUSION GSF BY LOCATION'!$A$4,'bldg_summary All 4-14-21'!$B$5:$B$201,'FUSION GSF BY LOCATION'!$A46)</f>
        <v>958</v>
      </c>
      <c r="F46" s="142">
        <v>61</v>
      </c>
      <c r="G46" s="142" t="s">
        <v>998</v>
      </c>
      <c r="H46" s="433">
        <f>SUMIFS('bldg_summary All 4-14-21'!$H$5:$H$201,'bldg_summary All 4-14-21'!$A$5:$A$201,$F$4,'bldg_summary All 4-14-21'!$B$5:$B$201,$F46)</f>
        <v>2430</v>
      </c>
      <c r="J46" s="57"/>
      <c r="K46" s="59"/>
      <c r="L46" s="68"/>
    </row>
    <row r="47" spans="1:12" ht="12.95" customHeight="1">
      <c r="A47" s="57">
        <v>163</v>
      </c>
      <c r="B47" s="57" t="s">
        <v>999</v>
      </c>
      <c r="C47" s="147">
        <f>SUMIFS('bldg_summary All 4-14-21'!$H$5:$H$201,'bldg_summary All 4-14-21'!$A$5:$A$201,'FUSION GSF BY LOCATION'!$A$4,'bldg_summary All 4-14-21'!$B$5:$B$201,'FUSION GSF BY LOCATION'!$A47)</f>
        <v>958</v>
      </c>
      <c r="F47" s="142">
        <v>62</v>
      </c>
      <c r="G47" s="142" t="s">
        <v>1000</v>
      </c>
      <c r="H47" s="433">
        <f>SUMIFS('bldg_summary All 4-14-21'!$H$5:$H$201,'bldg_summary All 4-14-21'!$A$5:$A$201,$F$4,'bldg_summary All 4-14-21'!$B$5:$B$201,$F47)</f>
        <v>485</v>
      </c>
      <c r="J47" s="57"/>
      <c r="L47" s="71"/>
    </row>
    <row r="48" spans="1:12" ht="12.95" customHeight="1">
      <c r="A48" s="57">
        <v>164</v>
      </c>
      <c r="B48" s="57" t="s">
        <v>1001</v>
      </c>
      <c r="C48" s="147">
        <f>SUMIFS('bldg_summary All 4-14-21'!$H$5:$H$201,'bldg_summary All 4-14-21'!$A$5:$A$201,'FUSION GSF BY LOCATION'!$A$4,'bldg_summary All 4-14-21'!$B$5:$B$201,'FUSION GSF BY LOCATION'!$A48)</f>
        <v>609</v>
      </c>
      <c r="F48" s="142">
        <v>63</v>
      </c>
      <c r="G48" s="142" t="s">
        <v>1002</v>
      </c>
      <c r="H48" s="433">
        <f>SUMIFS('bldg_summary All 4-14-21'!$H$5:$H$201,'bldg_summary All 4-14-21'!$A$5:$A$201,$F$4,'bldg_summary All 4-14-21'!$B$5:$B$201,$F48)</f>
        <v>120</v>
      </c>
      <c r="K48" s="62" t="s">
        <v>925</v>
      </c>
    </row>
    <row r="49" spans="1:12" ht="12.95" customHeight="1">
      <c r="A49" s="57">
        <v>166</v>
      </c>
      <c r="B49" s="57" t="s">
        <v>1003</v>
      </c>
      <c r="C49" s="147">
        <f>SUMIFS('bldg_summary All 4-14-21'!$H$5:$H$201,'bldg_summary All 4-14-21'!$A$5:$A$201,'FUSION GSF BY LOCATION'!$A$4,'bldg_summary All 4-14-21'!$B$5:$B$201,'FUSION GSF BY LOCATION'!$A49)</f>
        <v>16000</v>
      </c>
      <c r="F49" s="142">
        <v>64</v>
      </c>
      <c r="G49" s="142" t="s">
        <v>1004</v>
      </c>
      <c r="H49" s="433">
        <f>SUMIFS('bldg_summary All 4-14-21'!$H$5:$H$201,'bldg_summary All 4-14-21'!$A$5:$A$201,$F$4,'bldg_summary All 4-14-21'!$B$5:$B$201,$F49)</f>
        <v>296</v>
      </c>
      <c r="K49" s="57"/>
      <c r="L49" s="66"/>
    </row>
    <row r="50" spans="1:12" ht="12.95" customHeight="1">
      <c r="A50" s="57">
        <v>167</v>
      </c>
      <c r="B50" s="57" t="s">
        <v>1005</v>
      </c>
      <c r="C50" s="147">
        <f>SUMIFS('bldg_summary All 4-14-21'!$H$5:$H$201,'bldg_summary All 4-14-21'!$A$5:$A$201,'FUSION GSF BY LOCATION'!$A$4,'bldg_summary All 4-14-21'!$B$5:$B$201,'FUSION GSF BY LOCATION'!$A50)</f>
        <v>3738</v>
      </c>
      <c r="F50" s="142">
        <v>65</v>
      </c>
      <c r="G50" s="142" t="s">
        <v>1006</v>
      </c>
      <c r="H50" s="433">
        <f>SUMIFS('bldg_summary All 4-14-21'!$H$5:$H$201,'bldg_summary All 4-14-21'!$A$5:$A$201,$F$4,'bldg_summary All 4-14-21'!$B$5:$B$201,$F50)</f>
        <v>200</v>
      </c>
    </row>
    <row r="51" spans="1:12" ht="12.95" customHeight="1" thickBot="1">
      <c r="A51" s="57">
        <v>168</v>
      </c>
      <c r="B51" s="57" t="s">
        <v>1007</v>
      </c>
      <c r="C51" s="147">
        <f>SUMIFS('bldg_summary All 4-14-21'!$H$5:$H$201,'bldg_summary All 4-14-21'!$A$5:$A$201,'FUSION GSF BY LOCATION'!$A$4,'bldg_summary All 4-14-21'!$B$5:$B$201,'FUSION GSF BY LOCATION'!$A51)</f>
        <v>1976</v>
      </c>
      <c r="F51" s="142">
        <v>66</v>
      </c>
      <c r="G51" s="142" t="s">
        <v>1008</v>
      </c>
      <c r="H51" s="433">
        <f>SUMIFS('bldg_summary All 4-14-21'!$H$5:$H$201,'bldg_summary All 4-14-21'!$A$5:$A$201,$F$4,'bldg_summary All 4-14-21'!$B$5:$B$201,$F51)</f>
        <v>24963</v>
      </c>
      <c r="K51" s="1" t="s">
        <v>935</v>
      </c>
      <c r="L51" s="64">
        <f>L45</f>
        <v>241134</v>
      </c>
    </row>
    <row r="52" spans="1:12" ht="12.95" customHeight="1" thickTop="1">
      <c r="A52" s="57">
        <v>169</v>
      </c>
      <c r="B52" s="57" t="s">
        <v>1009</v>
      </c>
      <c r="C52" s="147">
        <f>SUMIFS('bldg_summary All 4-14-21'!$H$5:$H$201,'bldg_summary All 4-14-21'!$A$5:$A$201,'FUSION GSF BY LOCATION'!$A$4,'bldg_summary All 4-14-21'!$B$5:$B$201,'FUSION GSF BY LOCATION'!$A52)</f>
        <v>200</v>
      </c>
      <c r="F52" s="142">
        <v>67</v>
      </c>
      <c r="G52" s="142" t="s">
        <v>1010</v>
      </c>
      <c r="H52" s="433">
        <f>SUMIFS('bldg_summary All 4-14-21'!$H$5:$H$201,'bldg_summary All 4-14-21'!$A$5:$A$201,$F$4,'bldg_summary All 4-14-21'!$B$5:$B$201,$F52)</f>
        <v>26208</v>
      </c>
    </row>
    <row r="53" spans="1:12" ht="12.95" customHeight="1">
      <c r="A53" s="57">
        <v>184</v>
      </c>
      <c r="B53" s="57" t="s">
        <v>1011</v>
      </c>
      <c r="C53" s="147">
        <f>SUMIFS('bldg_summary All 4-14-21'!$H$5:$H$201,'bldg_summary All 4-14-21'!$A$5:$A$201,'FUSION GSF BY LOCATION'!$A$4,'bldg_summary All 4-14-21'!$B$5:$B$201,'FUSION GSF BY LOCATION'!$A53)</f>
        <v>940</v>
      </c>
      <c r="F53" s="142">
        <v>70</v>
      </c>
      <c r="G53" s="142" t="s">
        <v>1012</v>
      </c>
      <c r="H53" s="433">
        <f>SUMIFS('bldg_summary All 4-14-21'!$H$5:$H$201,'bldg_summary All 4-14-21'!$A$5:$A$201,$F$4,'bldg_summary All 4-14-21'!$B$5:$B$201,$F53)</f>
        <v>2160</v>
      </c>
    </row>
    <row r="54" spans="1:12" ht="12.95" customHeight="1">
      <c r="A54" s="57">
        <v>185</v>
      </c>
      <c r="B54" s="57" t="s">
        <v>1013</v>
      </c>
      <c r="C54" s="147">
        <f>SUMIFS('bldg_summary All 4-14-21'!$H$5:$H$201,'bldg_summary All 4-14-21'!$A$5:$A$201,'FUSION GSF BY LOCATION'!$A$4,'bldg_summary All 4-14-21'!$B$5:$B$201,'FUSION GSF BY LOCATION'!$A54)</f>
        <v>960</v>
      </c>
      <c r="F54" s="142">
        <v>71</v>
      </c>
      <c r="G54" s="142" t="s">
        <v>1014</v>
      </c>
      <c r="H54" s="433">
        <f>SUMIFS('bldg_summary All 4-14-21'!$H$5:$H$201,'bldg_summary All 4-14-21'!$A$5:$A$201,$F$4,'bldg_summary All 4-14-21'!$B$5:$B$201,$F54)</f>
        <v>2160</v>
      </c>
    </row>
    <row r="55" spans="1:12" ht="12.95" customHeight="1">
      <c r="A55" s="57">
        <v>186</v>
      </c>
      <c r="B55" s="57" t="s">
        <v>1015</v>
      </c>
      <c r="C55" s="147">
        <f>SUMIFS('bldg_summary All 4-14-21'!$H$5:$H$201,'bldg_summary All 4-14-21'!$A$5:$A$201,'FUSION GSF BY LOCATION'!$A$4,'bldg_summary All 4-14-21'!$B$5:$B$201,'FUSION GSF BY LOCATION'!$A55)</f>
        <v>960</v>
      </c>
      <c r="F55" s="142">
        <v>72</v>
      </c>
      <c r="G55" s="142" t="s">
        <v>1016</v>
      </c>
      <c r="H55" s="433">
        <f>SUMIFS('bldg_summary All 4-14-21'!$H$5:$H$201,'bldg_summary All 4-14-21'!$A$5:$A$201,$F$4,'bldg_summary All 4-14-21'!$B$5:$B$201,$F55)</f>
        <v>2160</v>
      </c>
    </row>
    <row r="56" spans="1:12" ht="12.95" customHeight="1">
      <c r="A56" s="57">
        <v>190</v>
      </c>
      <c r="B56" s="57" t="s">
        <v>1017</v>
      </c>
      <c r="C56" s="147">
        <f>SUMIFS('bldg_summary All 4-14-21'!$H$5:$H$201,'bldg_summary All 4-14-21'!$A$5:$A$201,'FUSION GSF BY LOCATION'!$A$4,'bldg_summary All 4-14-21'!$B$5:$B$201,'FUSION GSF BY LOCATION'!$A56)</f>
        <v>300</v>
      </c>
      <c r="F56" s="142">
        <v>74</v>
      </c>
      <c r="G56" s="142" t="s">
        <v>1018</v>
      </c>
      <c r="H56" s="433">
        <f>SUMIFS('bldg_summary All 4-14-21'!$H$5:$H$201,'bldg_summary All 4-14-21'!$A$5:$A$201,$F$4,'bldg_summary All 4-14-21'!$B$5:$B$201,$F56)</f>
        <v>2160</v>
      </c>
    </row>
    <row r="57" spans="1:12" ht="12.95" customHeight="1">
      <c r="A57" s="57">
        <v>191</v>
      </c>
      <c r="B57" s="57" t="s">
        <v>1019</v>
      </c>
      <c r="C57" s="147">
        <f>SUMIFS('bldg_summary All 4-14-21'!$H$5:$H$201,'bldg_summary All 4-14-21'!$A$5:$A$201,'FUSION GSF BY LOCATION'!$A$4,'bldg_summary All 4-14-21'!$B$5:$B$201,'FUSION GSF BY LOCATION'!$A57)</f>
        <v>300</v>
      </c>
      <c r="F57" s="142">
        <v>75</v>
      </c>
      <c r="G57" s="142" t="s">
        <v>1020</v>
      </c>
      <c r="H57" s="433">
        <f>SUMIFS('bldg_summary All 4-14-21'!$H$5:$H$201,'bldg_summary All 4-14-21'!$A$5:$A$201,$F$4,'bldg_summary All 4-14-21'!$B$5:$B$201,$F57)</f>
        <v>3480</v>
      </c>
      <c r="K57" s="57"/>
      <c r="L57" s="67"/>
    </row>
    <row r="58" spans="1:12" ht="12.95" customHeight="1">
      <c r="A58" s="57">
        <v>192</v>
      </c>
      <c r="B58" s="57" t="s">
        <v>1021</v>
      </c>
      <c r="C58" s="147">
        <f>SUMIFS('bldg_summary All 4-14-21'!$H$5:$H$201,'bldg_summary All 4-14-21'!$A$5:$A$201,'FUSION GSF BY LOCATION'!$A$4,'bldg_summary All 4-14-21'!$B$5:$B$201,'FUSION GSF BY LOCATION'!$A58)</f>
        <v>300</v>
      </c>
      <c r="F58" s="142">
        <v>76</v>
      </c>
      <c r="G58" s="142" t="s">
        <v>1022</v>
      </c>
      <c r="H58" s="433">
        <f>SUMIFS('bldg_summary All 4-14-21'!$H$5:$H$201,'bldg_summary All 4-14-21'!$A$5:$A$201,$F$4,'bldg_summary All 4-14-21'!$B$5:$B$201,$F58)</f>
        <v>3480</v>
      </c>
    </row>
    <row r="59" spans="1:12" ht="12.95" customHeight="1">
      <c r="A59" s="57">
        <v>193</v>
      </c>
      <c r="B59" s="57" t="s">
        <v>1023</v>
      </c>
      <c r="C59" s="147">
        <f>SUMIFS('bldg_summary All 4-14-21'!$H$5:$H$201,'bldg_summary All 4-14-21'!$A$5:$A$201,'FUSION GSF BY LOCATION'!$A$4,'bldg_summary All 4-14-21'!$B$5:$B$201,'FUSION GSF BY LOCATION'!$A59)</f>
        <v>300</v>
      </c>
      <c r="D59" s="69"/>
      <c r="E59" s="69"/>
      <c r="F59" s="142">
        <v>78</v>
      </c>
      <c r="G59" s="142" t="s">
        <v>1024</v>
      </c>
      <c r="H59" s="433">
        <f>SUMIFS('bldg_summary All 4-14-21'!$H$5:$H$201,'bldg_summary All 4-14-21'!$A$5:$A$201,$F$4,'bldg_summary All 4-14-21'!$B$5:$B$201,$F59)</f>
        <v>2160</v>
      </c>
    </row>
    <row r="60" spans="1:12" ht="12.95" customHeight="1">
      <c r="A60" s="57">
        <v>194</v>
      </c>
      <c r="B60" s="57" t="s">
        <v>1025</v>
      </c>
      <c r="C60" s="147">
        <f>SUMIFS('bldg_summary All 4-14-21'!$H$5:$H$201,'bldg_summary All 4-14-21'!$A$5:$A$201,'FUSION GSF BY LOCATION'!$A$4,'bldg_summary All 4-14-21'!$B$5:$B$201,'FUSION GSF BY LOCATION'!$A60)</f>
        <v>300</v>
      </c>
      <c r="D60" s="69"/>
      <c r="E60" s="69"/>
      <c r="F60" s="142">
        <v>79</v>
      </c>
      <c r="G60" s="142" t="s">
        <v>1026</v>
      </c>
      <c r="H60" s="433">
        <f>SUMIFS('bldg_summary All 4-14-21'!$H$5:$H$201,'bldg_summary All 4-14-21'!$A$5:$A$201,$F$4,'bldg_summary All 4-14-21'!$B$5:$B$201,$F60)</f>
        <v>2160</v>
      </c>
    </row>
    <row r="61" spans="1:12" ht="12.95" customHeight="1">
      <c r="A61" s="57">
        <v>195</v>
      </c>
      <c r="B61" s="57" t="s">
        <v>1027</v>
      </c>
      <c r="C61" s="147">
        <f>SUMIFS('bldg_summary All 4-14-21'!$H$5:$H$201,'bldg_summary All 4-14-21'!$A$5:$A$201,'FUSION GSF BY LOCATION'!$A$4,'bldg_summary All 4-14-21'!$B$5:$B$201,'FUSION GSF BY LOCATION'!$A61)</f>
        <v>300</v>
      </c>
      <c r="D61" s="69"/>
      <c r="E61" s="69"/>
      <c r="F61" s="142">
        <v>80</v>
      </c>
      <c r="G61" s="142" t="s">
        <v>1028</v>
      </c>
      <c r="H61" s="433">
        <f>SUMIFS('bldg_summary All 4-14-21'!$H$5:$H$201,'bldg_summary All 4-14-21'!$A$5:$A$201,$F$4,'bldg_summary All 4-14-21'!$B$5:$B$201,$F61)</f>
        <v>1440</v>
      </c>
    </row>
    <row r="62" spans="1:12" ht="12.95" customHeight="1">
      <c r="A62" s="57">
        <v>196</v>
      </c>
      <c r="B62" s="57" t="s">
        <v>1029</v>
      </c>
      <c r="C62" s="147">
        <f>SUMIFS('bldg_summary All 4-14-21'!$H$5:$H$201,'bldg_summary All 4-14-21'!$A$5:$A$201,'FUSION GSF BY LOCATION'!$A$4,'bldg_summary All 4-14-21'!$B$5:$B$201,'FUSION GSF BY LOCATION'!$A62)</f>
        <v>480</v>
      </c>
      <c r="D62" s="69"/>
      <c r="E62" s="69"/>
      <c r="F62" s="142">
        <v>82</v>
      </c>
      <c r="G62" s="142" t="s">
        <v>1030</v>
      </c>
      <c r="H62" s="433">
        <f>SUMIFS('bldg_summary All 4-14-21'!$H$5:$H$201,'bldg_summary All 4-14-21'!$A$5:$A$201,$F$4,'bldg_summary All 4-14-21'!$B$5:$B$201,$F62)</f>
        <v>1440</v>
      </c>
    </row>
    <row r="63" spans="1:12" ht="12.95" customHeight="1">
      <c r="A63" s="57">
        <v>197</v>
      </c>
      <c r="B63" s="57" t="s">
        <v>1031</v>
      </c>
      <c r="C63" s="147">
        <f>SUMIFS('bldg_summary All 4-14-21'!$H$5:$H$201,'bldg_summary All 4-14-21'!$A$5:$A$201,'FUSION GSF BY LOCATION'!$A$4,'bldg_summary All 4-14-21'!$B$5:$B$201,'FUSION GSF BY LOCATION'!$A63)</f>
        <v>79781</v>
      </c>
      <c r="D63" s="69"/>
      <c r="E63" s="69"/>
      <c r="F63" s="142">
        <v>83</v>
      </c>
      <c r="G63" s="142" t="s">
        <v>1032</v>
      </c>
      <c r="H63" s="433">
        <f>SUMIFS('bldg_summary All 4-14-21'!$H$5:$H$201,'bldg_summary All 4-14-21'!$A$5:$A$201,$F$4,'bldg_summary All 4-14-21'!$B$5:$B$201,$F63)</f>
        <v>1440</v>
      </c>
    </row>
    <row r="64" spans="1:12" ht="12.95" customHeight="1">
      <c r="A64" s="57">
        <v>198</v>
      </c>
      <c r="B64" s="57" t="s">
        <v>1033</v>
      </c>
      <c r="C64" s="147">
        <f>SUMIFS('bldg_summary All 4-14-21'!$H$5:$H$201,'bldg_summary All 4-14-21'!$A$5:$A$201,'FUSION GSF BY LOCATION'!$A$4,'bldg_summary All 4-14-21'!$B$5:$B$201,'FUSION GSF BY LOCATION'!$A64)</f>
        <v>15796</v>
      </c>
      <c r="F64" s="142">
        <v>84</v>
      </c>
      <c r="G64" s="142" t="s">
        <v>1034</v>
      </c>
      <c r="H64" s="433">
        <f>SUMIFS('bldg_summary All 4-14-21'!$H$5:$H$201,'bldg_summary All 4-14-21'!$A$5:$A$201,$F$4,'bldg_summary All 4-14-21'!$B$5:$B$201,$F64)</f>
        <v>2000</v>
      </c>
    </row>
    <row r="65" spans="1:8" ht="12.95" customHeight="1">
      <c r="A65" s="57">
        <v>199</v>
      </c>
      <c r="B65" s="57" t="s">
        <v>1035</v>
      </c>
      <c r="C65" s="147">
        <f>SUMIFS('bldg_summary All 4-14-21'!$H$5:$H$201,'bldg_summary All 4-14-21'!$A$5:$A$201,'FUSION GSF BY LOCATION'!$A$4,'bldg_summary All 4-14-21'!$B$5:$B$201,'FUSION GSF BY LOCATION'!$A65)</f>
        <v>91592</v>
      </c>
      <c r="F65" s="142">
        <v>85</v>
      </c>
      <c r="G65" s="142" t="s">
        <v>1036</v>
      </c>
      <c r="H65" s="433">
        <f>SUMIFS('bldg_summary All 4-14-21'!$H$5:$H$201,'bldg_summary All 4-14-21'!$A$5:$A$201,$F$4,'bldg_summary All 4-14-21'!$B$5:$B$201,$F65)</f>
        <v>4000</v>
      </c>
    </row>
    <row r="66" spans="1:8" ht="12.95" customHeight="1">
      <c r="A66" s="57">
        <v>200</v>
      </c>
      <c r="B66" s="57" t="s">
        <v>1037</v>
      </c>
      <c r="C66" s="147">
        <f>SUMIFS('bldg_summary All 4-14-21'!$H$5:$H$201,'bldg_summary All 4-14-21'!$A$5:$A$201,'FUSION GSF BY LOCATION'!$A$4,'bldg_summary All 4-14-21'!$B$5:$B$201,'FUSION GSF BY LOCATION'!$A66)</f>
        <v>32390</v>
      </c>
      <c r="D66" s="551"/>
      <c r="E66" s="551"/>
      <c r="F66" s="57"/>
    </row>
    <row r="67" spans="1:8" ht="12.95" customHeight="1">
      <c r="A67" s="57">
        <v>201</v>
      </c>
      <c r="B67" s="57" t="s">
        <v>1038</v>
      </c>
      <c r="C67" s="147">
        <f>SUMIFS('bldg_summary All 4-14-21'!$H$5:$H$201,'bldg_summary All 4-14-21'!$A$5:$A$201,'FUSION GSF BY LOCATION'!$A$4,'bldg_summary All 4-14-21'!$B$5:$B$201,'FUSION GSF BY LOCATION'!$A67)</f>
        <v>40656</v>
      </c>
      <c r="F67" s="57"/>
      <c r="H67" s="65">
        <f>SUM(H6:H65)</f>
        <v>317315</v>
      </c>
    </row>
    <row r="68" spans="1:8" ht="12.95" customHeight="1">
      <c r="A68" s="57">
        <v>202</v>
      </c>
      <c r="B68" s="57" t="s">
        <v>1039</v>
      </c>
      <c r="C68" s="147">
        <f>SUMIFS('bldg_summary All 4-14-21'!$H$5:$H$201,'bldg_summary All 4-14-21'!$A$5:$A$201,'FUSION GSF BY LOCATION'!$A$4,'bldg_summary All 4-14-21'!$B$5:$B$201,'FUSION GSF BY LOCATION'!$A68)</f>
        <v>354</v>
      </c>
      <c r="F68" s="57"/>
      <c r="G68" s="62"/>
      <c r="H68" s="434"/>
    </row>
    <row r="69" spans="1:8" ht="12.95" customHeight="1">
      <c r="A69" s="57">
        <v>203</v>
      </c>
      <c r="B69" s="57" t="s">
        <v>1040</v>
      </c>
      <c r="C69" s="147">
        <f>SUMIFS('bldg_summary All 4-14-21'!$H$5:$H$201,'bldg_summary All 4-14-21'!$A$5:$A$201,'FUSION GSF BY LOCATION'!$A$4,'bldg_summary All 4-14-21'!$B$5:$B$201,'FUSION GSF BY LOCATION'!$A69)</f>
        <v>2649</v>
      </c>
      <c r="F69" s="57"/>
      <c r="G69" s="57"/>
      <c r="H69" s="435"/>
    </row>
    <row r="70" spans="1:8" ht="12.95" customHeight="1" thickBot="1">
      <c r="A70" s="57">
        <v>204</v>
      </c>
      <c r="B70" s="57" t="s">
        <v>1041</v>
      </c>
      <c r="C70" s="147">
        <f>SUMIFS('bldg_summary All 4-14-21'!$H$5:$H$201,'bldg_summary All 4-14-21'!$A$5:$A$201,'FUSION GSF BY LOCATION'!$A$4,'bldg_summary All 4-14-21'!$B$5:$B$201,'FUSION GSF BY LOCATION'!$A70)</f>
        <v>532</v>
      </c>
      <c r="G70" s="1" t="s">
        <v>935</v>
      </c>
      <c r="H70" s="64">
        <f>SUM(H67:H69)</f>
        <v>317315</v>
      </c>
    </row>
    <row r="71" spans="1:8" ht="12.95" customHeight="1" thickTop="1">
      <c r="A71" s="57">
        <v>205</v>
      </c>
      <c r="B71" s="57" t="s">
        <v>1042</v>
      </c>
      <c r="C71" s="147">
        <f>SUMIFS('bldg_summary All 4-14-21'!$H$5:$H$201,'bldg_summary All 4-14-21'!$A$5:$A$201,'FUSION GSF BY LOCATION'!$A$4,'bldg_summary All 4-14-21'!$B$5:$B$201,'FUSION GSF BY LOCATION'!$A71)</f>
        <v>653</v>
      </c>
      <c r="G71" s="1"/>
      <c r="H71" s="68"/>
    </row>
    <row r="72" spans="1:8" ht="12.95" customHeight="1">
      <c r="A72" s="57">
        <v>206</v>
      </c>
      <c r="B72" s="57" t="s">
        <v>1043</v>
      </c>
      <c r="C72" s="147">
        <f>SUMIFS('bldg_summary All 4-14-21'!$H$5:$H$201,'bldg_summary All 4-14-21'!$A$5:$A$201,'FUSION GSF BY LOCATION'!$A$4,'bldg_summary All 4-14-21'!$B$5:$B$201,'FUSION GSF BY LOCATION'!$A72)</f>
        <v>1984</v>
      </c>
      <c r="G72" s="1"/>
      <c r="H72" s="68"/>
    </row>
    <row r="73" spans="1:8" ht="12.95" customHeight="1">
      <c r="A73" s="57">
        <v>207</v>
      </c>
      <c r="B73" s="57" t="s">
        <v>1044</v>
      </c>
      <c r="C73" s="147">
        <f>SUMIFS('bldg_summary All 4-14-21'!$H$5:$H$201,'bldg_summary All 4-14-21'!$A$5:$A$201,'FUSION GSF BY LOCATION'!$A$4,'bldg_summary All 4-14-21'!$B$5:$B$201,'FUSION GSF BY LOCATION'!$A73)</f>
        <v>725</v>
      </c>
      <c r="G73" s="1"/>
      <c r="H73" s="68"/>
    </row>
    <row r="74" spans="1:8" ht="22.5">
      <c r="A74" s="57">
        <v>208</v>
      </c>
      <c r="B74" s="57" t="s">
        <v>1045</v>
      </c>
      <c r="C74" s="147">
        <f>SUMIFS('bldg_summary All 4-14-21'!$H$5:$H$201,'bldg_summary All 4-14-21'!$A$5:$A$201,'FUSION GSF BY LOCATION'!$A$4,'bldg_summary All 4-14-21'!$B$5:$B$201,'FUSION GSF BY LOCATION'!$A74)</f>
        <v>477</v>
      </c>
      <c r="G74" s="1"/>
      <c r="H74" s="68"/>
    </row>
    <row r="75" spans="1:8">
      <c r="A75" s="57">
        <v>209</v>
      </c>
      <c r="B75" s="57" t="s">
        <v>1046</v>
      </c>
      <c r="C75" s="147">
        <f>SUMIFS('bldg_summary All 4-14-21'!$H$5:$H$201,'bldg_summary All 4-14-21'!$A$5:$A$201,'FUSION GSF BY LOCATION'!$A$4,'bldg_summary All 4-14-21'!$B$5:$B$201,'FUSION GSF BY LOCATION'!$A75)</f>
        <v>39</v>
      </c>
      <c r="G75" s="1"/>
      <c r="H75" s="68"/>
    </row>
    <row r="76" spans="1:8" ht="24" customHeight="1">
      <c r="A76" s="57">
        <v>210</v>
      </c>
      <c r="B76" s="57" t="s">
        <v>1047</v>
      </c>
      <c r="C76" s="147">
        <f>SUMIFS('bldg_summary All 4-14-21'!$H$5:$H$201,'bldg_summary All 4-14-21'!$A$5:$A$201,'FUSION GSF BY LOCATION'!$A$4,'bldg_summary All 4-14-21'!$B$5:$B$201,'FUSION GSF BY LOCATION'!$A76)</f>
        <v>1316</v>
      </c>
      <c r="G76" s="1"/>
      <c r="H76" s="68"/>
    </row>
    <row r="77" spans="1:8">
      <c r="A77" s="57">
        <v>211</v>
      </c>
      <c r="B77" s="57" t="s">
        <v>1048</v>
      </c>
      <c r="C77" s="147">
        <f>SUMIFS('bldg_summary All 4-14-21'!$H$5:$H$201,'bldg_summary All 4-14-21'!$A$5:$A$201,'FUSION GSF BY LOCATION'!$A$4,'bldg_summary All 4-14-21'!$B$5:$B$201,'FUSION GSF BY LOCATION'!$A77)</f>
        <v>51669</v>
      </c>
      <c r="G77" s="1"/>
      <c r="H77" s="68"/>
    </row>
    <row r="78" spans="1:8">
      <c r="A78" s="57">
        <v>212</v>
      </c>
      <c r="B78" s="57" t="s">
        <v>1049</v>
      </c>
      <c r="C78" s="147">
        <f>SUMIFS('bldg_summary All 4-14-21'!$H$5:$H$201,'bldg_summary All 4-14-21'!$A$5:$A$201,'FUSION GSF BY LOCATION'!$A$4,'bldg_summary All 4-14-21'!$B$5:$B$201,'FUSION GSF BY LOCATION'!$A78)</f>
        <v>1920</v>
      </c>
      <c r="G78" s="1"/>
      <c r="H78" s="68"/>
    </row>
    <row r="79" spans="1:8">
      <c r="A79" s="57">
        <v>213</v>
      </c>
      <c r="B79" s="57" t="s">
        <v>1050</v>
      </c>
      <c r="C79" s="147">
        <f>SUMIFS('bldg_summary All 4-14-21'!$H$5:$H$201,'bldg_summary All 4-14-21'!$A$5:$A$201,'FUSION GSF BY LOCATION'!$A$4,'bldg_summary All 4-14-21'!$B$5:$B$201,'FUSION GSF BY LOCATION'!$A79)</f>
        <v>960</v>
      </c>
    </row>
    <row r="80" spans="1:8">
      <c r="A80" s="57">
        <v>214</v>
      </c>
      <c r="B80" s="57" t="s">
        <v>1051</v>
      </c>
      <c r="C80" s="147">
        <f>SUMIFS('bldg_summary All 4-14-21'!$H$5:$H$201,'bldg_summary All 4-14-21'!$A$5:$A$201,'FUSION GSF BY LOCATION'!$A$4,'bldg_summary All 4-14-21'!$B$5:$B$201,'FUSION GSF BY LOCATION'!$A80)</f>
        <v>960</v>
      </c>
    </row>
    <row r="81" spans="1:7">
      <c r="A81" s="57">
        <v>215</v>
      </c>
      <c r="B81" s="57" t="s">
        <v>1052</v>
      </c>
      <c r="C81" s="147">
        <f>SUMIFS('bldg_summary All 4-14-21'!$H$5:$H$201,'bldg_summary All 4-14-21'!$A$5:$A$201,'FUSION GSF BY LOCATION'!$A$4,'bldg_summary All 4-14-21'!$B$5:$B$201,'FUSION GSF BY LOCATION'!$A81)</f>
        <v>960</v>
      </c>
    </row>
    <row r="82" spans="1:7">
      <c r="A82" s="57">
        <v>216</v>
      </c>
      <c r="B82" s="57" t="s">
        <v>1053</v>
      </c>
      <c r="C82" s="147">
        <f>SUMIFS('bldg_summary All 4-14-21'!$H$5:$H$201,'bldg_summary All 4-14-21'!$A$5:$A$201,'FUSION GSF BY LOCATION'!$A$4,'bldg_summary All 4-14-21'!$B$5:$B$201,'FUSION GSF BY LOCATION'!$A82)</f>
        <v>960</v>
      </c>
    </row>
    <row r="83" spans="1:7">
      <c r="A83" s="57">
        <v>217</v>
      </c>
      <c r="B83" s="57" t="s">
        <v>1054</v>
      </c>
      <c r="C83" s="147">
        <f>SUMIFS('bldg_summary All 4-14-21'!$H$5:$H$201,'bldg_summary All 4-14-21'!$A$5:$A$201,'FUSION GSF BY LOCATION'!$A$4,'bldg_summary All 4-14-21'!$B$5:$B$201,'FUSION GSF BY LOCATION'!$A83)</f>
        <v>960</v>
      </c>
    </row>
    <row r="84" spans="1:7" ht="22.5">
      <c r="A84" s="57">
        <v>218</v>
      </c>
      <c r="B84" s="57" t="s">
        <v>1055</v>
      </c>
      <c r="C84" s="147">
        <f>SUMIFS('bldg_summary All 4-14-21'!$H$5:$H$201,'bldg_summary All 4-14-21'!$A$5:$A$201,'FUSION GSF BY LOCATION'!$A$4,'bldg_summary All 4-14-21'!$B$5:$B$201,'FUSION GSF BY LOCATION'!$A84)</f>
        <v>477</v>
      </c>
    </row>
    <row r="85" spans="1:7">
      <c r="A85" s="57">
        <v>219</v>
      </c>
      <c r="B85" s="57" t="s">
        <v>1056</v>
      </c>
      <c r="C85" s="147">
        <f>SUMIFS('bldg_summary All 4-14-21'!$H$5:$H$201,'bldg_summary All 4-14-21'!$A$5:$A$201,'FUSION GSF BY LOCATION'!$A$4,'bldg_summary All 4-14-21'!$B$5:$B$201,'FUSION GSF BY LOCATION'!$A85)</f>
        <v>960</v>
      </c>
    </row>
    <row r="86" spans="1:7">
      <c r="A86" s="57">
        <v>220</v>
      </c>
      <c r="B86" s="57" t="s">
        <v>1057</v>
      </c>
      <c r="C86" s="147">
        <f>SUMIFS('bldg_summary All 4-14-21'!$H$5:$H$201,'bldg_summary All 4-14-21'!$A$5:$A$201,'FUSION GSF BY LOCATION'!$A$4,'bldg_summary All 4-14-21'!$B$5:$B$201,'FUSION GSF BY LOCATION'!$A86)</f>
        <v>878</v>
      </c>
    </row>
    <row r="87" spans="1:7">
      <c r="A87" s="57">
        <v>221</v>
      </c>
      <c r="B87" s="57" t="s">
        <v>1058</v>
      </c>
      <c r="C87" s="147">
        <f>SUMIFS('bldg_summary All 4-14-21'!$H$5:$H$201,'bldg_summary All 4-14-21'!$A$5:$A$201,'FUSION GSF BY LOCATION'!$A$4,'bldg_summary All 4-14-21'!$B$5:$B$201,'FUSION GSF BY LOCATION'!$A87)</f>
        <v>625</v>
      </c>
    </row>
    <row r="88" spans="1:7">
      <c r="A88" s="57">
        <v>222</v>
      </c>
      <c r="B88" s="57" t="s">
        <v>1059</v>
      </c>
      <c r="C88" s="147">
        <f>SUMIFS('bldg_summary All 4-14-21'!$H$5:$H$201,'bldg_summary All 4-14-21'!$A$5:$A$201,'FUSION GSF BY LOCATION'!$A$4,'bldg_summary All 4-14-21'!$B$5:$B$201,'FUSION GSF BY LOCATION'!$A88)</f>
        <v>625</v>
      </c>
      <c r="G88" s="63"/>
    </row>
    <row r="89" spans="1:7">
      <c r="A89" s="57">
        <v>223</v>
      </c>
      <c r="B89" s="57" t="s">
        <v>1060</v>
      </c>
      <c r="C89" s="147">
        <f>SUMIFS('bldg_summary All 4-14-21'!$H$5:$H$201,'bldg_summary All 4-14-21'!$A$5:$A$201,'FUSION GSF BY LOCATION'!$A$4,'bldg_summary All 4-14-21'!$B$5:$B$201,'FUSION GSF BY LOCATION'!$A89)</f>
        <v>199</v>
      </c>
    </row>
    <row r="90" spans="1:7">
      <c r="A90" s="57">
        <v>224</v>
      </c>
      <c r="B90" s="57" t="s">
        <v>1061</v>
      </c>
      <c r="C90" s="147">
        <f>SUMIFS('bldg_summary All 4-14-21'!$H$5:$H$201,'bldg_summary All 4-14-21'!$A$5:$A$201,'FUSION GSF BY LOCATION'!$A$4,'bldg_summary All 4-14-21'!$B$5:$B$201,'FUSION GSF BY LOCATION'!$A90)</f>
        <v>669</v>
      </c>
    </row>
    <row r="91" spans="1:7">
      <c r="A91" s="57">
        <v>231</v>
      </c>
      <c r="B91" s="57" t="s">
        <v>983</v>
      </c>
      <c r="C91" s="147">
        <f>SUMIFS('bldg_summary All 4-14-21'!$H$5:$H$201,'bldg_summary All 4-14-21'!$A$5:$A$201,'FUSION GSF BY LOCATION'!$A$4,'bldg_summary All 4-14-21'!$B$5:$B$201,'FUSION GSF BY LOCATION'!$A91)</f>
        <v>320</v>
      </c>
    </row>
    <row r="92" spans="1:7">
      <c r="A92" s="57">
        <v>232</v>
      </c>
      <c r="B92" s="57" t="s">
        <v>1062</v>
      </c>
      <c r="C92" s="147">
        <f>SUMIFS('bldg_summary All 4-14-21'!$H$5:$H$201,'bldg_summary All 4-14-21'!$A$5:$A$201,'FUSION GSF BY LOCATION'!$A$4,'bldg_summary All 4-14-21'!$B$5:$B$201,'FUSION GSF BY LOCATION'!$A92)</f>
        <v>1510</v>
      </c>
    </row>
    <row r="93" spans="1:7">
      <c r="A93" s="57"/>
      <c r="B93" s="57"/>
      <c r="C93" s="143"/>
    </row>
    <row r="94" spans="1:7">
      <c r="A94" s="57"/>
      <c r="B94" s="57"/>
      <c r="C94" s="144">
        <f>SUM(C6:C93)</f>
        <v>1426807</v>
      </c>
    </row>
    <row r="95" spans="1:7">
      <c r="A95" s="57"/>
      <c r="B95" s="57"/>
      <c r="C95" s="58"/>
    </row>
    <row r="96" spans="1:7">
      <c r="A96" s="57"/>
      <c r="B96" s="57"/>
      <c r="C96" s="58"/>
    </row>
    <row r="97" spans="2:3">
      <c r="B97" s="62" t="s">
        <v>925</v>
      </c>
      <c r="C97" s="54"/>
    </row>
    <row r="98" spans="2:3">
      <c r="B98" s="57" t="s">
        <v>1063</v>
      </c>
      <c r="C98" s="58">
        <f>-C43</f>
        <v>-450000</v>
      </c>
    </row>
    <row r="99" spans="2:3" ht="33.75">
      <c r="B99" s="57" t="s">
        <v>1064</v>
      </c>
      <c r="C99" s="58">
        <f>P7+P8+P9+P11+P12+P13</f>
        <v>20632</v>
      </c>
    </row>
    <row r="101" spans="2:3">
      <c r="C101" s="54"/>
    </row>
    <row r="102" spans="2:3" ht="13.5" thickBot="1">
      <c r="B102" s="1" t="s">
        <v>935</v>
      </c>
      <c r="C102" s="70">
        <f>C94+C98+C99</f>
        <v>997439</v>
      </c>
    </row>
    <row r="103" spans="2:3" ht="13.5" thickTop="1">
      <c r="B103" s="1"/>
      <c r="C103" s="71"/>
    </row>
    <row r="104" spans="2:3">
      <c r="B104" s="145"/>
    </row>
  </sheetData>
  <mergeCells count="1">
    <mergeCell ref="D66:E66"/>
  </mergeCells>
  <pageMargins left="0.17" right="0.17" top="0.25" bottom="0.25" header="0.5" footer="0.17"/>
  <pageSetup scale="62" orientation="landscape" r:id="rId1"/>
  <headerFooter alignWithMargins="0"/>
  <drawing r:id="rId2"/>
  <legacyDrawing r:id="rId3"/>
  <controls>
    <mc:AlternateContent xmlns:mc="http://schemas.openxmlformats.org/markup-compatibility/2006">
      <mc:Choice Requires="x14">
        <control shapeId="8195" r:id="rId8" name="Control 3">
          <controlPr defaultSize="0" autoPict="0" r:id="rId7">
            <anchor moveWithCells="1">
              <from>
                <xdr:col>13</xdr:col>
                <xdr:colOff>0</xdr:colOff>
                <xdr:row>16</xdr:row>
                <xdr:rowOff>133350</xdr:rowOff>
              </from>
              <to>
                <xdr:col>14</xdr:col>
                <xdr:colOff>590550</xdr:colOff>
                <xdr:row>18</xdr:row>
                <xdr:rowOff>38100</xdr:rowOff>
              </to>
            </anchor>
          </controlPr>
        </control>
      </mc:Choice>
      <mc:Fallback>
        <control shapeId="8195" r:id="rId8" name="Control 3"/>
      </mc:Fallback>
    </mc:AlternateContent>
    <mc:AlternateContent xmlns:mc="http://schemas.openxmlformats.org/markup-compatibility/2006">
      <mc:Choice Requires="x14">
        <control shapeId="8196" r:id="rId6" name="Control 4">
          <controlPr defaultSize="0" autoPict="0" r:id="rId7">
            <anchor moveWithCells="1">
              <from>
                <xdr:col>14</xdr:col>
                <xdr:colOff>0</xdr:colOff>
                <xdr:row>18</xdr:row>
                <xdr:rowOff>133350</xdr:rowOff>
              </from>
              <to>
                <xdr:col>14</xdr:col>
                <xdr:colOff>914400</xdr:colOff>
                <xdr:row>20</xdr:row>
                <xdr:rowOff>38100</xdr:rowOff>
              </to>
            </anchor>
          </controlPr>
        </control>
      </mc:Choice>
      <mc:Fallback>
        <control shapeId="8196" r:id="rId6" name="Control 4"/>
      </mc:Fallback>
    </mc:AlternateContent>
    <mc:AlternateContent xmlns:mc="http://schemas.openxmlformats.org/markup-compatibility/2006">
      <mc:Choice Requires="x14">
        <control shapeId="8197" r:id="rId4" name="Control 5">
          <controlPr defaultSize="0" autoPict="0" r:id="rId5">
            <anchor moveWithCells="1">
              <from>
                <xdr:col>14</xdr:col>
                <xdr:colOff>0</xdr:colOff>
                <xdr:row>18</xdr:row>
                <xdr:rowOff>133350</xdr:rowOff>
              </from>
              <to>
                <xdr:col>14</xdr:col>
                <xdr:colOff>914400</xdr:colOff>
                <xdr:row>20</xdr:row>
                <xdr:rowOff>38100</xdr:rowOff>
              </to>
            </anchor>
          </controlPr>
        </control>
      </mc:Choice>
      <mc:Fallback>
        <control shapeId="8197" r:id="rId4" name="Control 5"/>
      </mc:Fallback>
    </mc:AlternateContent>
  </control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499984740745262"/>
    <pageSetUpPr fitToPage="1"/>
  </sheetPr>
  <dimension ref="A1:L203"/>
  <sheetViews>
    <sheetView workbookViewId="0">
      <pane ySplit="4" topLeftCell="A5" activePane="bottomLeft" state="frozen"/>
      <selection pane="bottomLeft" activeCell="D14" sqref="D14"/>
      <selection activeCell="D14" sqref="D14"/>
    </sheetView>
  </sheetViews>
  <sheetFormatPr defaultColWidth="9.140625" defaultRowHeight="15" outlineLevelRow="2"/>
  <cols>
    <col min="1" max="1" width="25" style="134" customWidth="1"/>
    <col min="2" max="2" width="6.28515625" style="134" customWidth="1"/>
    <col min="3" max="3" width="33.28515625" style="134" customWidth="1"/>
    <col min="4" max="6" width="9" style="134" customWidth="1"/>
    <col min="7" max="8" width="11" style="213" customWidth="1"/>
    <col min="9" max="9" width="10.7109375" style="134" customWidth="1"/>
    <col min="10" max="10" width="18.28515625" style="134" customWidth="1"/>
    <col min="11" max="11" width="24.28515625" style="134" customWidth="1"/>
    <col min="12" max="12" width="6.28515625" style="183" customWidth="1"/>
    <col min="13" max="16384" width="9.140625" style="134"/>
  </cols>
  <sheetData>
    <row r="1" spans="1:12">
      <c r="A1" s="416" t="s">
        <v>853</v>
      </c>
    </row>
    <row r="2" spans="1:12" ht="15" customHeight="1">
      <c r="A2" s="133"/>
      <c r="B2" s="552" t="s">
        <v>1065</v>
      </c>
      <c r="C2" s="552"/>
      <c r="D2" s="552"/>
      <c r="E2" s="552"/>
      <c r="F2" s="552"/>
      <c r="G2" s="552"/>
      <c r="H2" s="552"/>
      <c r="I2" s="552"/>
      <c r="J2" s="552"/>
      <c r="K2" s="552"/>
      <c r="L2" s="552"/>
    </row>
    <row r="3" spans="1:12" ht="15" customHeight="1">
      <c r="A3" s="553" t="s">
        <v>1066</v>
      </c>
      <c r="B3" s="553"/>
      <c r="C3" s="553"/>
      <c r="D3" s="553"/>
      <c r="E3" s="553"/>
      <c r="F3" s="553"/>
      <c r="G3" s="553"/>
      <c r="H3" s="553"/>
      <c r="I3" s="553"/>
      <c r="J3" s="553"/>
      <c r="K3" s="553"/>
      <c r="L3" s="553"/>
    </row>
    <row r="4" spans="1:12" ht="12.75" customHeight="1">
      <c r="A4" s="135" t="s">
        <v>1067</v>
      </c>
      <c r="B4" s="135" t="s">
        <v>1068</v>
      </c>
      <c r="C4" s="135" t="s">
        <v>806</v>
      </c>
      <c r="D4" s="135" t="s">
        <v>1069</v>
      </c>
      <c r="E4" s="135" t="s">
        <v>1070</v>
      </c>
      <c r="F4" s="135" t="s">
        <v>1071</v>
      </c>
      <c r="G4" s="175" t="s">
        <v>1072</v>
      </c>
      <c r="H4" s="175" t="s">
        <v>855</v>
      </c>
      <c r="I4" s="136" t="s">
        <v>1073</v>
      </c>
      <c r="J4" s="136" t="s">
        <v>1074</v>
      </c>
      <c r="K4" s="136" t="s">
        <v>1075</v>
      </c>
      <c r="L4" s="136" t="s">
        <v>1076</v>
      </c>
    </row>
    <row r="5" spans="1:12" ht="15" customHeight="1" outlineLevel="2">
      <c r="A5" s="137" t="s">
        <v>857</v>
      </c>
      <c r="B5" s="138">
        <v>1</v>
      </c>
      <c r="C5" s="139" t="s">
        <v>1077</v>
      </c>
      <c r="D5" s="136" t="s">
        <v>1078</v>
      </c>
      <c r="E5" s="140">
        <v>143</v>
      </c>
      <c r="F5" s="140">
        <v>1934</v>
      </c>
      <c r="G5" s="176">
        <v>42920</v>
      </c>
      <c r="H5" s="176">
        <v>81246</v>
      </c>
      <c r="I5" s="141">
        <f>+G5/H5</f>
        <v>0.52827216109100761</v>
      </c>
      <c r="J5" s="139" t="s">
        <v>1079</v>
      </c>
      <c r="K5" s="139" t="s">
        <v>1080</v>
      </c>
      <c r="L5" s="136" t="s">
        <v>117</v>
      </c>
    </row>
    <row r="6" spans="1:12" ht="15" customHeight="1" outlineLevel="2">
      <c r="A6" s="137" t="s">
        <v>857</v>
      </c>
      <c r="B6" s="138">
        <v>2</v>
      </c>
      <c r="C6" s="139" t="s">
        <v>1081</v>
      </c>
      <c r="D6" s="136" t="s">
        <v>1082</v>
      </c>
      <c r="E6" s="140">
        <v>25</v>
      </c>
      <c r="F6" s="140">
        <v>4</v>
      </c>
      <c r="G6" s="176">
        <v>6946</v>
      </c>
      <c r="H6" s="176">
        <v>8910</v>
      </c>
      <c r="I6" s="141">
        <f t="shared" ref="I6:I69" si="0">+G6/H6</f>
        <v>0.77957351290684629</v>
      </c>
      <c r="J6" s="139" t="s">
        <v>1079</v>
      </c>
      <c r="K6" s="139" t="s">
        <v>1083</v>
      </c>
      <c r="L6" s="136" t="s">
        <v>117</v>
      </c>
    </row>
    <row r="7" spans="1:12" ht="15" customHeight="1" outlineLevel="2">
      <c r="A7" s="137" t="s">
        <v>857</v>
      </c>
      <c r="B7" s="138">
        <v>3</v>
      </c>
      <c r="C7" s="139" t="s">
        <v>1084</v>
      </c>
      <c r="D7" s="136" t="s">
        <v>1082</v>
      </c>
      <c r="E7" s="140">
        <v>29</v>
      </c>
      <c r="F7" s="140">
        <v>1167</v>
      </c>
      <c r="G7" s="176">
        <v>25423</v>
      </c>
      <c r="H7" s="176">
        <v>33105</v>
      </c>
      <c r="I7" s="141">
        <f t="shared" si="0"/>
        <v>0.76795046065549011</v>
      </c>
      <c r="J7" s="139" t="s">
        <v>1079</v>
      </c>
      <c r="K7" s="139" t="s">
        <v>1085</v>
      </c>
      <c r="L7" s="136" t="s">
        <v>117</v>
      </c>
    </row>
    <row r="8" spans="1:12" ht="15" customHeight="1" outlineLevel="2">
      <c r="A8" s="137" t="s">
        <v>857</v>
      </c>
      <c r="B8" s="138">
        <v>4</v>
      </c>
      <c r="C8" s="139" t="s">
        <v>1086</v>
      </c>
      <c r="D8" s="136" t="s">
        <v>1087</v>
      </c>
      <c r="E8" s="140">
        <v>19</v>
      </c>
      <c r="F8" s="140">
        <v>16</v>
      </c>
      <c r="G8" s="176">
        <v>6191</v>
      </c>
      <c r="H8" s="176">
        <v>7500</v>
      </c>
      <c r="I8" s="141">
        <f t="shared" si="0"/>
        <v>0.82546666666666668</v>
      </c>
      <c r="J8" s="139" t="s">
        <v>1079</v>
      </c>
      <c r="K8" s="139" t="s">
        <v>1085</v>
      </c>
      <c r="L8" s="136" t="s">
        <v>117</v>
      </c>
    </row>
    <row r="9" spans="1:12" ht="15" customHeight="1" outlineLevel="2">
      <c r="A9" s="137" t="s">
        <v>857</v>
      </c>
      <c r="B9" s="138">
        <v>5</v>
      </c>
      <c r="C9" s="139" t="s">
        <v>1088</v>
      </c>
      <c r="D9" s="136" t="s">
        <v>1087</v>
      </c>
      <c r="E9" s="140">
        <v>4</v>
      </c>
      <c r="F9" s="140">
        <v>0</v>
      </c>
      <c r="G9" s="176">
        <v>1621</v>
      </c>
      <c r="H9" s="176">
        <v>1770</v>
      </c>
      <c r="I9" s="141">
        <f t="shared" si="0"/>
        <v>0.91581920903954805</v>
      </c>
      <c r="J9" s="139" t="s">
        <v>1079</v>
      </c>
      <c r="K9" s="139" t="s">
        <v>1085</v>
      </c>
      <c r="L9" s="136" t="s">
        <v>117</v>
      </c>
    </row>
    <row r="10" spans="1:12" ht="15" customHeight="1" outlineLevel="2">
      <c r="A10" s="137" t="s">
        <v>857</v>
      </c>
      <c r="B10" s="138">
        <v>6</v>
      </c>
      <c r="C10" s="139" t="s">
        <v>1089</v>
      </c>
      <c r="D10" s="136" t="s">
        <v>1090</v>
      </c>
      <c r="E10" s="140">
        <v>31</v>
      </c>
      <c r="F10" s="140">
        <v>396</v>
      </c>
      <c r="G10" s="176">
        <v>14047</v>
      </c>
      <c r="H10" s="176">
        <v>16830</v>
      </c>
      <c r="I10" s="141">
        <f t="shared" si="0"/>
        <v>0.83464052287581703</v>
      </c>
      <c r="J10" s="139" t="s">
        <v>1079</v>
      </c>
      <c r="K10" s="139" t="s">
        <v>1080</v>
      </c>
      <c r="L10" s="136" t="s">
        <v>117</v>
      </c>
    </row>
    <row r="11" spans="1:12" ht="15" customHeight="1" outlineLevel="2">
      <c r="A11" s="137" t="s">
        <v>857</v>
      </c>
      <c r="B11" s="138">
        <v>7</v>
      </c>
      <c r="C11" s="139" t="s">
        <v>1091</v>
      </c>
      <c r="D11" s="136" t="s">
        <v>1092</v>
      </c>
      <c r="E11" s="140">
        <v>31</v>
      </c>
      <c r="F11" s="140">
        <v>106</v>
      </c>
      <c r="G11" s="176">
        <v>14416</v>
      </c>
      <c r="H11" s="176">
        <v>20562</v>
      </c>
      <c r="I11" s="141">
        <f t="shared" si="0"/>
        <v>0.7010991148720942</v>
      </c>
      <c r="J11" s="139" t="s">
        <v>1079</v>
      </c>
      <c r="K11" s="139" t="s">
        <v>1080</v>
      </c>
      <c r="L11" s="136" t="s">
        <v>117</v>
      </c>
    </row>
    <row r="12" spans="1:12" ht="15" customHeight="1" outlineLevel="2">
      <c r="A12" s="177" t="s">
        <v>857</v>
      </c>
      <c r="B12" s="178">
        <v>10</v>
      </c>
      <c r="C12" s="179" t="s">
        <v>1093</v>
      </c>
      <c r="D12" s="180" t="s">
        <v>1094</v>
      </c>
      <c r="E12" s="181">
        <v>0</v>
      </c>
      <c r="F12" s="181">
        <v>0</v>
      </c>
      <c r="G12" s="182">
        <v>0</v>
      </c>
      <c r="H12" s="182">
        <v>7554</v>
      </c>
      <c r="I12" s="141">
        <f t="shared" si="0"/>
        <v>0</v>
      </c>
      <c r="J12" s="179" t="s">
        <v>1079</v>
      </c>
      <c r="K12" s="179" t="s">
        <v>1080</v>
      </c>
      <c r="L12" s="180" t="s">
        <v>117</v>
      </c>
    </row>
    <row r="13" spans="1:12" ht="15" customHeight="1" outlineLevel="2">
      <c r="A13" s="137" t="s">
        <v>857</v>
      </c>
      <c r="B13" s="138">
        <v>12</v>
      </c>
      <c r="C13" s="139" t="s">
        <v>1095</v>
      </c>
      <c r="D13" s="136" t="s">
        <v>1096</v>
      </c>
      <c r="E13" s="140">
        <v>20</v>
      </c>
      <c r="F13" s="140">
        <v>1482</v>
      </c>
      <c r="G13" s="176">
        <v>20711</v>
      </c>
      <c r="H13" s="176">
        <v>30003</v>
      </c>
      <c r="I13" s="141">
        <f t="shared" si="0"/>
        <v>0.69029763690297641</v>
      </c>
      <c r="J13" s="139" t="s">
        <v>1079</v>
      </c>
      <c r="K13" s="139" t="s">
        <v>1080</v>
      </c>
      <c r="L13" s="136" t="s">
        <v>117</v>
      </c>
    </row>
    <row r="14" spans="1:12" ht="15" customHeight="1" outlineLevel="2">
      <c r="A14" s="137" t="s">
        <v>857</v>
      </c>
      <c r="B14" s="138">
        <v>13</v>
      </c>
      <c r="C14" s="139" t="s">
        <v>1097</v>
      </c>
      <c r="D14" s="136" t="s">
        <v>1096</v>
      </c>
      <c r="E14" s="140">
        <v>0</v>
      </c>
      <c r="F14" s="140">
        <v>0</v>
      </c>
      <c r="G14" s="176">
        <v>0</v>
      </c>
      <c r="H14" s="176">
        <v>9553</v>
      </c>
      <c r="I14" s="141">
        <f t="shared" si="0"/>
        <v>0</v>
      </c>
      <c r="J14" s="139" t="s">
        <v>1079</v>
      </c>
      <c r="K14" s="139" t="s">
        <v>1080</v>
      </c>
      <c r="L14" s="136" t="s">
        <v>117</v>
      </c>
    </row>
    <row r="15" spans="1:12" ht="15" customHeight="1" outlineLevel="2">
      <c r="A15" s="137" t="s">
        <v>857</v>
      </c>
      <c r="B15" s="138">
        <v>14</v>
      </c>
      <c r="C15" s="139" t="s">
        <v>1098</v>
      </c>
      <c r="D15" s="136" t="s">
        <v>1099</v>
      </c>
      <c r="E15" s="140">
        <v>12</v>
      </c>
      <c r="F15" s="140">
        <v>105</v>
      </c>
      <c r="G15" s="176">
        <v>5995</v>
      </c>
      <c r="H15" s="176">
        <v>7953</v>
      </c>
      <c r="I15" s="141">
        <f t="shared" si="0"/>
        <v>0.75380359612724757</v>
      </c>
      <c r="J15" s="139" t="s">
        <v>1079</v>
      </c>
      <c r="K15" s="139" t="s">
        <v>1080</v>
      </c>
      <c r="L15" s="136" t="s">
        <v>117</v>
      </c>
    </row>
    <row r="16" spans="1:12" ht="15" customHeight="1" outlineLevel="2">
      <c r="A16" s="137" t="s">
        <v>857</v>
      </c>
      <c r="B16" s="138">
        <v>15</v>
      </c>
      <c r="C16" s="139" t="s">
        <v>1100</v>
      </c>
      <c r="D16" s="136" t="s">
        <v>1099</v>
      </c>
      <c r="E16" s="140">
        <v>32</v>
      </c>
      <c r="F16" s="140">
        <v>40</v>
      </c>
      <c r="G16" s="176">
        <v>18876</v>
      </c>
      <c r="H16" s="176">
        <v>22203</v>
      </c>
      <c r="I16" s="141">
        <f t="shared" si="0"/>
        <v>0.85015538440751248</v>
      </c>
      <c r="J16" s="139" t="s">
        <v>1079</v>
      </c>
      <c r="K16" s="139" t="s">
        <v>1080</v>
      </c>
      <c r="L16" s="136" t="s">
        <v>117</v>
      </c>
    </row>
    <row r="17" spans="1:12" ht="15" customHeight="1" outlineLevel="2">
      <c r="A17" s="137" t="s">
        <v>857</v>
      </c>
      <c r="B17" s="138">
        <v>16</v>
      </c>
      <c r="C17" s="139" t="s">
        <v>1101</v>
      </c>
      <c r="D17" s="136" t="s">
        <v>1099</v>
      </c>
      <c r="E17" s="140">
        <v>6</v>
      </c>
      <c r="F17" s="140">
        <v>0</v>
      </c>
      <c r="G17" s="176">
        <v>3132</v>
      </c>
      <c r="H17" s="176">
        <v>6800</v>
      </c>
      <c r="I17" s="141">
        <f t="shared" si="0"/>
        <v>0.46058823529411763</v>
      </c>
      <c r="J17" s="139" t="s">
        <v>1079</v>
      </c>
      <c r="K17" s="139" t="s">
        <v>1102</v>
      </c>
      <c r="L17" s="136" t="s">
        <v>117</v>
      </c>
    </row>
    <row r="18" spans="1:12" ht="15" customHeight="1" outlineLevel="2">
      <c r="A18" s="137" t="s">
        <v>857</v>
      </c>
      <c r="B18" s="138">
        <v>18</v>
      </c>
      <c r="C18" s="139" t="s">
        <v>1103</v>
      </c>
      <c r="D18" s="136" t="s">
        <v>1104</v>
      </c>
      <c r="E18" s="140">
        <v>24</v>
      </c>
      <c r="F18" s="140">
        <v>208</v>
      </c>
      <c r="G18" s="176">
        <v>9629</v>
      </c>
      <c r="H18" s="176">
        <v>12897</v>
      </c>
      <c r="I18" s="141">
        <f t="shared" si="0"/>
        <v>0.74660773823369775</v>
      </c>
      <c r="J18" s="139" t="s">
        <v>1079</v>
      </c>
      <c r="K18" s="139" t="s">
        <v>1080</v>
      </c>
      <c r="L18" s="136" t="s">
        <v>117</v>
      </c>
    </row>
    <row r="19" spans="1:12" ht="15" customHeight="1" outlineLevel="2">
      <c r="A19" s="177" t="s">
        <v>857</v>
      </c>
      <c r="B19" s="178">
        <v>19</v>
      </c>
      <c r="C19" s="179" t="s">
        <v>1105</v>
      </c>
      <c r="D19" s="180" t="s">
        <v>1104</v>
      </c>
      <c r="E19" s="181">
        <v>16</v>
      </c>
      <c r="F19" s="181">
        <v>0</v>
      </c>
      <c r="G19" s="182">
        <v>0</v>
      </c>
      <c r="H19" s="182">
        <v>6597</v>
      </c>
      <c r="I19" s="141">
        <f t="shared" si="0"/>
        <v>0</v>
      </c>
      <c r="J19" s="179" t="s">
        <v>1079</v>
      </c>
      <c r="K19" s="179" t="s">
        <v>1083</v>
      </c>
      <c r="L19" s="180" t="s">
        <v>117</v>
      </c>
    </row>
    <row r="20" spans="1:12" ht="15" customHeight="1" outlineLevel="2">
      <c r="A20" s="177" t="s">
        <v>857</v>
      </c>
      <c r="B20" s="178">
        <v>20</v>
      </c>
      <c r="C20" s="179" t="s">
        <v>1106</v>
      </c>
      <c r="D20" s="180" t="s">
        <v>1107</v>
      </c>
      <c r="E20" s="181">
        <v>53</v>
      </c>
      <c r="F20" s="181">
        <v>0</v>
      </c>
      <c r="G20" s="182">
        <v>0</v>
      </c>
      <c r="H20" s="182">
        <v>28642</v>
      </c>
      <c r="I20" s="141">
        <f t="shared" si="0"/>
        <v>0</v>
      </c>
      <c r="J20" s="179" t="s">
        <v>1079</v>
      </c>
      <c r="K20" s="179" t="s">
        <v>1080</v>
      </c>
      <c r="L20" s="180" t="s">
        <v>117</v>
      </c>
    </row>
    <row r="21" spans="1:12" ht="15" customHeight="1" outlineLevel="2">
      <c r="A21" s="137" t="s">
        <v>857</v>
      </c>
      <c r="B21" s="138">
        <v>21</v>
      </c>
      <c r="C21" s="139" t="s">
        <v>1108</v>
      </c>
      <c r="D21" s="136" t="s">
        <v>1109</v>
      </c>
      <c r="E21" s="140">
        <v>37</v>
      </c>
      <c r="F21" s="140">
        <v>682</v>
      </c>
      <c r="G21" s="176">
        <v>27196</v>
      </c>
      <c r="H21" s="176">
        <v>41507</v>
      </c>
      <c r="I21" s="141">
        <f t="shared" si="0"/>
        <v>0.65521478304864245</v>
      </c>
      <c r="J21" s="139" t="s">
        <v>1079</v>
      </c>
      <c r="K21" s="139" t="s">
        <v>1080</v>
      </c>
      <c r="L21" s="136" t="s">
        <v>117</v>
      </c>
    </row>
    <row r="22" spans="1:12" ht="15" customHeight="1" outlineLevel="2">
      <c r="A22" s="177" t="s">
        <v>857</v>
      </c>
      <c r="B22" s="178">
        <v>22</v>
      </c>
      <c r="C22" s="179" t="s">
        <v>1110</v>
      </c>
      <c r="D22" s="180" t="s">
        <v>1109</v>
      </c>
      <c r="E22" s="181">
        <v>54</v>
      </c>
      <c r="F22" s="181">
        <v>0</v>
      </c>
      <c r="G22" s="182">
        <v>0</v>
      </c>
      <c r="H22" s="182">
        <v>26335</v>
      </c>
      <c r="I22" s="141">
        <f t="shared" si="0"/>
        <v>0</v>
      </c>
      <c r="J22" s="179" t="s">
        <v>1079</v>
      </c>
      <c r="K22" s="179" t="s">
        <v>1080</v>
      </c>
      <c r="L22" s="180" t="s">
        <v>117</v>
      </c>
    </row>
    <row r="23" spans="1:12" ht="15" customHeight="1" outlineLevel="2">
      <c r="A23" s="137" t="s">
        <v>857</v>
      </c>
      <c r="B23" s="138">
        <v>23</v>
      </c>
      <c r="C23" s="139" t="s">
        <v>1111</v>
      </c>
      <c r="D23" s="136" t="s">
        <v>1109</v>
      </c>
      <c r="E23" s="140">
        <v>6</v>
      </c>
      <c r="F23" s="140">
        <v>64</v>
      </c>
      <c r="G23" s="176">
        <v>1291</v>
      </c>
      <c r="H23" s="176">
        <v>1763</v>
      </c>
      <c r="I23" s="141">
        <f t="shared" si="0"/>
        <v>0.73227453204764603</v>
      </c>
      <c r="J23" s="139" t="s">
        <v>1079</v>
      </c>
      <c r="K23" s="139" t="s">
        <v>1080</v>
      </c>
      <c r="L23" s="136" t="s">
        <v>117</v>
      </c>
    </row>
    <row r="24" spans="1:12" ht="15" customHeight="1" outlineLevel="2">
      <c r="A24" s="137" t="s">
        <v>857</v>
      </c>
      <c r="B24" s="138">
        <v>24</v>
      </c>
      <c r="C24" s="139" t="s">
        <v>1112</v>
      </c>
      <c r="D24" s="136" t="s">
        <v>1109</v>
      </c>
      <c r="E24" s="140">
        <v>55</v>
      </c>
      <c r="F24" s="140">
        <v>526</v>
      </c>
      <c r="G24" s="176">
        <v>26107</v>
      </c>
      <c r="H24" s="176">
        <v>38803</v>
      </c>
      <c r="I24" s="141">
        <f t="shared" si="0"/>
        <v>0.67280880344303273</v>
      </c>
      <c r="J24" s="139" t="s">
        <v>1079</v>
      </c>
      <c r="K24" s="139" t="s">
        <v>1080</v>
      </c>
      <c r="L24" s="136" t="s">
        <v>117</v>
      </c>
    </row>
    <row r="25" spans="1:12" ht="15" customHeight="1" outlineLevel="2">
      <c r="A25" s="137" t="s">
        <v>857</v>
      </c>
      <c r="B25" s="138">
        <v>26</v>
      </c>
      <c r="C25" s="139" t="s">
        <v>1113</v>
      </c>
      <c r="D25" s="136" t="s">
        <v>1114</v>
      </c>
      <c r="E25" s="140">
        <v>10</v>
      </c>
      <c r="F25" s="140">
        <v>60</v>
      </c>
      <c r="G25" s="176">
        <v>5415</v>
      </c>
      <c r="H25" s="176">
        <v>8717</v>
      </c>
      <c r="I25" s="141">
        <f t="shared" si="0"/>
        <v>0.62119995411265339</v>
      </c>
      <c r="J25" s="139" t="s">
        <v>1079</v>
      </c>
      <c r="K25" s="139" t="s">
        <v>1085</v>
      </c>
      <c r="L25" s="136" t="s">
        <v>117</v>
      </c>
    </row>
    <row r="26" spans="1:12" ht="15" customHeight="1" outlineLevel="2">
      <c r="A26" s="137" t="s">
        <v>857</v>
      </c>
      <c r="B26" s="138">
        <v>30</v>
      </c>
      <c r="C26" s="139" t="s">
        <v>1115</v>
      </c>
      <c r="D26" s="136" t="s">
        <v>1116</v>
      </c>
      <c r="E26" s="140">
        <v>26</v>
      </c>
      <c r="F26" s="140">
        <v>179</v>
      </c>
      <c r="G26" s="176">
        <v>17885</v>
      </c>
      <c r="H26" s="176">
        <v>20812</v>
      </c>
      <c r="I26" s="141">
        <f t="shared" si="0"/>
        <v>0.85935998462425522</v>
      </c>
      <c r="J26" s="139" t="s">
        <v>1079</v>
      </c>
      <c r="K26" s="139" t="s">
        <v>1080</v>
      </c>
      <c r="L26" s="136" t="s">
        <v>117</v>
      </c>
    </row>
    <row r="27" spans="1:12" ht="15" customHeight="1" outlineLevel="2">
      <c r="A27" s="137" t="s">
        <v>857</v>
      </c>
      <c r="B27" s="138">
        <v>31</v>
      </c>
      <c r="C27" s="139" t="s">
        <v>948</v>
      </c>
      <c r="D27" s="136" t="s">
        <v>1116</v>
      </c>
      <c r="E27" s="140">
        <v>21</v>
      </c>
      <c r="F27" s="140">
        <v>57</v>
      </c>
      <c r="G27" s="176">
        <v>6339</v>
      </c>
      <c r="H27" s="176">
        <v>13729</v>
      </c>
      <c r="I27" s="141">
        <f t="shared" si="0"/>
        <v>0.46172335931240438</v>
      </c>
      <c r="J27" s="139" t="s">
        <v>1079</v>
      </c>
      <c r="K27" s="139" t="s">
        <v>1085</v>
      </c>
      <c r="L27" s="136" t="s">
        <v>117</v>
      </c>
    </row>
    <row r="28" spans="1:12" ht="15" customHeight="1" outlineLevel="2">
      <c r="A28" s="137" t="s">
        <v>857</v>
      </c>
      <c r="B28" s="138">
        <v>32</v>
      </c>
      <c r="C28" s="139" t="s">
        <v>951</v>
      </c>
      <c r="D28" s="136" t="s">
        <v>1117</v>
      </c>
      <c r="E28" s="140">
        <v>40</v>
      </c>
      <c r="F28" s="140">
        <v>449</v>
      </c>
      <c r="G28" s="176">
        <v>16655</v>
      </c>
      <c r="H28" s="176">
        <v>22229</v>
      </c>
      <c r="I28" s="141">
        <f t="shared" si="0"/>
        <v>0.74924647982365378</v>
      </c>
      <c r="J28" s="139" t="s">
        <v>1079</v>
      </c>
      <c r="K28" s="139" t="s">
        <v>1080</v>
      </c>
      <c r="L28" s="136" t="s">
        <v>117</v>
      </c>
    </row>
    <row r="29" spans="1:12" ht="15" customHeight="1" outlineLevel="2">
      <c r="A29" s="137" t="s">
        <v>857</v>
      </c>
      <c r="B29" s="138">
        <v>33</v>
      </c>
      <c r="C29" s="139" t="s">
        <v>954</v>
      </c>
      <c r="D29" s="136" t="s">
        <v>1118</v>
      </c>
      <c r="E29" s="140">
        <v>3</v>
      </c>
      <c r="F29" s="140">
        <v>0</v>
      </c>
      <c r="G29" s="176">
        <v>786</v>
      </c>
      <c r="H29" s="176">
        <v>854</v>
      </c>
      <c r="I29" s="141">
        <f t="shared" si="0"/>
        <v>0.92037470725995318</v>
      </c>
      <c r="J29" s="139" t="s">
        <v>1079</v>
      </c>
      <c r="K29" s="139" t="s">
        <v>1102</v>
      </c>
      <c r="L29" s="136" t="s">
        <v>117</v>
      </c>
    </row>
    <row r="30" spans="1:12" ht="15" customHeight="1" outlineLevel="2">
      <c r="A30" s="137" t="s">
        <v>857</v>
      </c>
      <c r="B30" s="138">
        <v>34</v>
      </c>
      <c r="C30" s="139" t="s">
        <v>957</v>
      </c>
      <c r="D30" s="136" t="s">
        <v>1119</v>
      </c>
      <c r="E30" s="140">
        <v>9</v>
      </c>
      <c r="F30" s="140">
        <v>15</v>
      </c>
      <c r="G30" s="176">
        <v>2212</v>
      </c>
      <c r="H30" s="176">
        <v>2400</v>
      </c>
      <c r="I30" s="141">
        <f t="shared" si="0"/>
        <v>0.92166666666666663</v>
      </c>
      <c r="J30" s="139" t="s">
        <v>1079</v>
      </c>
      <c r="K30" s="139" t="s">
        <v>1085</v>
      </c>
      <c r="L30" s="136" t="s">
        <v>117</v>
      </c>
    </row>
    <row r="31" spans="1:12" ht="15" customHeight="1" outlineLevel="2">
      <c r="A31" s="137" t="s">
        <v>857</v>
      </c>
      <c r="B31" s="138">
        <v>35</v>
      </c>
      <c r="C31" s="139" t="s">
        <v>960</v>
      </c>
      <c r="D31" s="136" t="s">
        <v>1119</v>
      </c>
      <c r="E31" s="140">
        <v>12</v>
      </c>
      <c r="F31" s="140">
        <v>107</v>
      </c>
      <c r="G31" s="176">
        <v>4516</v>
      </c>
      <c r="H31" s="176">
        <v>5952</v>
      </c>
      <c r="I31" s="141">
        <f t="shared" si="0"/>
        <v>0.75873655913978499</v>
      </c>
      <c r="J31" s="139" t="s">
        <v>1079</v>
      </c>
      <c r="K31" s="139" t="s">
        <v>1102</v>
      </c>
      <c r="L31" s="136" t="s">
        <v>117</v>
      </c>
    </row>
    <row r="32" spans="1:12" ht="15" customHeight="1" outlineLevel="2">
      <c r="A32" s="137" t="s">
        <v>857</v>
      </c>
      <c r="B32" s="138">
        <v>36</v>
      </c>
      <c r="C32" s="139" t="s">
        <v>963</v>
      </c>
      <c r="D32" s="136" t="s">
        <v>1119</v>
      </c>
      <c r="E32" s="140">
        <v>11</v>
      </c>
      <c r="F32" s="140">
        <v>41</v>
      </c>
      <c r="G32" s="176">
        <v>3641</v>
      </c>
      <c r="H32" s="176">
        <v>4308</v>
      </c>
      <c r="I32" s="141">
        <f t="shared" si="0"/>
        <v>0.84517177344475392</v>
      </c>
      <c r="J32" s="139" t="s">
        <v>1079</v>
      </c>
      <c r="K32" s="139" t="s">
        <v>1102</v>
      </c>
      <c r="L32" s="136" t="s">
        <v>117</v>
      </c>
    </row>
    <row r="33" spans="1:12" ht="15" customHeight="1" outlineLevel="2">
      <c r="A33" s="137" t="s">
        <v>857</v>
      </c>
      <c r="B33" s="138">
        <v>37</v>
      </c>
      <c r="C33" s="139" t="s">
        <v>966</v>
      </c>
      <c r="D33" s="136" t="s">
        <v>1120</v>
      </c>
      <c r="E33" s="140">
        <v>114</v>
      </c>
      <c r="F33" s="140">
        <v>1358</v>
      </c>
      <c r="G33" s="176">
        <v>72727</v>
      </c>
      <c r="H33" s="176">
        <v>108234</v>
      </c>
      <c r="I33" s="141">
        <f t="shared" si="0"/>
        <v>0.67194227322283206</v>
      </c>
      <c r="J33" s="139" t="s">
        <v>1079</v>
      </c>
      <c r="K33" s="139" t="s">
        <v>1083</v>
      </c>
      <c r="L33" s="136" t="s">
        <v>117</v>
      </c>
    </row>
    <row r="34" spans="1:12" ht="15" customHeight="1" outlineLevel="2">
      <c r="A34" s="137" t="s">
        <v>857</v>
      </c>
      <c r="B34" s="138">
        <v>38</v>
      </c>
      <c r="C34" s="139" t="s">
        <v>969</v>
      </c>
      <c r="D34" s="136" t="s">
        <v>1121</v>
      </c>
      <c r="E34" s="140">
        <v>2</v>
      </c>
      <c r="F34" s="140">
        <v>16</v>
      </c>
      <c r="G34" s="176">
        <v>915</v>
      </c>
      <c r="H34" s="176">
        <v>960</v>
      </c>
      <c r="I34" s="141">
        <f t="shared" si="0"/>
        <v>0.953125</v>
      </c>
      <c r="J34" s="139" t="s">
        <v>1079</v>
      </c>
      <c r="K34" s="139" t="s">
        <v>1085</v>
      </c>
      <c r="L34" s="136" t="s">
        <v>117</v>
      </c>
    </row>
    <row r="35" spans="1:12" ht="15" customHeight="1" outlineLevel="2">
      <c r="A35" s="137" t="s">
        <v>857</v>
      </c>
      <c r="B35" s="138">
        <v>39</v>
      </c>
      <c r="C35" s="139" t="s">
        <v>972</v>
      </c>
      <c r="D35" s="136" t="s">
        <v>1122</v>
      </c>
      <c r="E35" s="140">
        <v>7</v>
      </c>
      <c r="F35" s="140">
        <v>5</v>
      </c>
      <c r="G35" s="176">
        <v>661</v>
      </c>
      <c r="H35" s="176">
        <v>960</v>
      </c>
      <c r="I35" s="141">
        <f t="shared" si="0"/>
        <v>0.68854166666666672</v>
      </c>
      <c r="J35" s="139" t="s">
        <v>1079</v>
      </c>
      <c r="K35" s="139" t="s">
        <v>1085</v>
      </c>
      <c r="L35" s="136" t="s">
        <v>117</v>
      </c>
    </row>
    <row r="36" spans="1:12" ht="15" customHeight="1" outlineLevel="2">
      <c r="A36" s="137" t="s">
        <v>857</v>
      </c>
      <c r="B36" s="138">
        <v>41</v>
      </c>
      <c r="C36" s="139" t="s">
        <v>975</v>
      </c>
      <c r="D36" s="136" t="s">
        <v>1109</v>
      </c>
      <c r="E36" s="140">
        <v>2</v>
      </c>
      <c r="F36" s="140">
        <v>0</v>
      </c>
      <c r="G36" s="176">
        <v>971</v>
      </c>
      <c r="H36" s="176">
        <v>1050</v>
      </c>
      <c r="I36" s="141">
        <f t="shared" si="0"/>
        <v>0.92476190476190478</v>
      </c>
      <c r="J36" s="139" t="s">
        <v>1079</v>
      </c>
      <c r="K36" s="139" t="s">
        <v>1085</v>
      </c>
      <c r="L36" s="136" t="s">
        <v>117</v>
      </c>
    </row>
    <row r="37" spans="1:12" ht="15" customHeight="1" outlineLevel="2">
      <c r="A37" s="137" t="s">
        <v>857</v>
      </c>
      <c r="B37" s="138">
        <v>43</v>
      </c>
      <c r="C37" s="139" t="s">
        <v>981</v>
      </c>
      <c r="D37" s="136" t="s">
        <v>1123</v>
      </c>
      <c r="E37" s="140">
        <v>2</v>
      </c>
      <c r="F37" s="140">
        <v>9</v>
      </c>
      <c r="G37" s="176">
        <v>639</v>
      </c>
      <c r="H37" s="176">
        <v>734</v>
      </c>
      <c r="I37" s="141">
        <f t="shared" si="0"/>
        <v>0.8705722070844687</v>
      </c>
      <c r="J37" s="139" t="s">
        <v>1079</v>
      </c>
      <c r="K37" s="139" t="s">
        <v>1102</v>
      </c>
      <c r="L37" s="136" t="s">
        <v>117</v>
      </c>
    </row>
    <row r="38" spans="1:12" ht="15" customHeight="1" outlineLevel="2">
      <c r="A38" s="137" t="s">
        <v>857</v>
      </c>
      <c r="B38" s="138">
        <v>47</v>
      </c>
      <c r="C38" s="139" t="s">
        <v>987</v>
      </c>
      <c r="D38" s="136" t="s">
        <v>1119</v>
      </c>
      <c r="E38" s="140">
        <v>1</v>
      </c>
      <c r="F38" s="140">
        <v>0</v>
      </c>
      <c r="G38" s="176">
        <v>0</v>
      </c>
      <c r="H38" s="176">
        <v>960</v>
      </c>
      <c r="I38" s="141">
        <f t="shared" si="0"/>
        <v>0</v>
      </c>
      <c r="J38" s="139" t="s">
        <v>1079</v>
      </c>
      <c r="K38" s="139" t="s">
        <v>1085</v>
      </c>
      <c r="L38" s="136" t="s">
        <v>117</v>
      </c>
    </row>
    <row r="39" spans="1:12" ht="15" customHeight="1" outlineLevel="2">
      <c r="A39" s="137" t="s">
        <v>857</v>
      </c>
      <c r="B39" s="138">
        <v>48</v>
      </c>
      <c r="C39" s="139" t="s">
        <v>990</v>
      </c>
      <c r="D39" s="136" t="s">
        <v>1124</v>
      </c>
      <c r="E39" s="140">
        <v>8</v>
      </c>
      <c r="F39" s="140">
        <v>1</v>
      </c>
      <c r="G39" s="176">
        <v>791</v>
      </c>
      <c r="H39" s="176">
        <v>450000</v>
      </c>
      <c r="I39" s="141">
        <f t="shared" si="0"/>
        <v>1.7577777777777778E-3</v>
      </c>
      <c r="J39" s="139" t="s">
        <v>1079</v>
      </c>
      <c r="K39" s="139" t="s">
        <v>1083</v>
      </c>
      <c r="L39" s="136" t="s">
        <v>117</v>
      </c>
    </row>
    <row r="40" spans="1:12" ht="15" customHeight="1" outlineLevel="2">
      <c r="A40" s="137" t="s">
        <v>857</v>
      </c>
      <c r="B40" s="138">
        <v>136</v>
      </c>
      <c r="C40" s="139" t="s">
        <v>993</v>
      </c>
      <c r="D40" s="136" t="s">
        <v>1125</v>
      </c>
      <c r="E40" s="140">
        <v>14</v>
      </c>
      <c r="F40" s="140">
        <v>34</v>
      </c>
      <c r="G40" s="176">
        <v>8364</v>
      </c>
      <c r="H40" s="176">
        <v>10000</v>
      </c>
      <c r="I40" s="141">
        <f t="shared" si="0"/>
        <v>0.83640000000000003</v>
      </c>
      <c r="J40" s="139" t="s">
        <v>1079</v>
      </c>
      <c r="K40" s="139" t="s">
        <v>1083</v>
      </c>
      <c r="L40" s="136" t="s">
        <v>117</v>
      </c>
    </row>
    <row r="41" spans="1:12" ht="15" customHeight="1" outlineLevel="2">
      <c r="A41" s="137" t="s">
        <v>857</v>
      </c>
      <c r="B41" s="138">
        <v>161</v>
      </c>
      <c r="C41" s="139" t="s">
        <v>995</v>
      </c>
      <c r="D41" s="136" t="s">
        <v>1126</v>
      </c>
      <c r="E41" s="140">
        <v>5</v>
      </c>
      <c r="F41" s="140">
        <v>0</v>
      </c>
      <c r="G41" s="176">
        <v>537</v>
      </c>
      <c r="H41" s="176">
        <v>1200</v>
      </c>
      <c r="I41" s="141">
        <f t="shared" si="0"/>
        <v>0.44750000000000001</v>
      </c>
      <c r="J41" s="139" t="s">
        <v>1079</v>
      </c>
      <c r="K41" s="139" t="s">
        <v>1083</v>
      </c>
      <c r="L41" s="136" t="s">
        <v>117</v>
      </c>
    </row>
    <row r="42" spans="1:12" ht="15" customHeight="1" outlineLevel="2">
      <c r="A42" s="137" t="s">
        <v>857</v>
      </c>
      <c r="B42" s="138">
        <v>162</v>
      </c>
      <c r="C42" s="139" t="s">
        <v>997</v>
      </c>
      <c r="D42" s="136" t="s">
        <v>1126</v>
      </c>
      <c r="E42" s="140">
        <v>4</v>
      </c>
      <c r="F42" s="140">
        <v>0</v>
      </c>
      <c r="G42" s="176">
        <v>381</v>
      </c>
      <c r="H42" s="176">
        <v>958</v>
      </c>
      <c r="I42" s="141">
        <f t="shared" si="0"/>
        <v>0.39770354906054278</v>
      </c>
      <c r="J42" s="139" t="s">
        <v>1079</v>
      </c>
      <c r="K42" s="139" t="s">
        <v>1083</v>
      </c>
      <c r="L42" s="136" t="s">
        <v>117</v>
      </c>
    </row>
    <row r="43" spans="1:12" ht="15" customHeight="1" outlineLevel="2">
      <c r="A43" s="137" t="s">
        <v>857</v>
      </c>
      <c r="B43" s="138">
        <v>163</v>
      </c>
      <c r="C43" s="139" t="s">
        <v>999</v>
      </c>
      <c r="D43" s="136" t="s">
        <v>1126</v>
      </c>
      <c r="E43" s="140">
        <v>4</v>
      </c>
      <c r="F43" s="140">
        <v>0</v>
      </c>
      <c r="G43" s="176">
        <v>286</v>
      </c>
      <c r="H43" s="176">
        <v>958</v>
      </c>
      <c r="I43" s="141">
        <f t="shared" si="0"/>
        <v>0.29853862212943633</v>
      </c>
      <c r="J43" s="139" t="s">
        <v>1079</v>
      </c>
      <c r="K43" s="139" t="s">
        <v>1083</v>
      </c>
      <c r="L43" s="136" t="s">
        <v>117</v>
      </c>
    </row>
    <row r="44" spans="1:12" ht="15" customHeight="1" outlineLevel="2">
      <c r="A44" s="137" t="s">
        <v>857</v>
      </c>
      <c r="B44" s="138">
        <v>164</v>
      </c>
      <c r="C44" s="139" t="s">
        <v>1001</v>
      </c>
      <c r="D44" s="136" t="s">
        <v>1126</v>
      </c>
      <c r="E44" s="140">
        <v>2</v>
      </c>
      <c r="F44" s="140">
        <v>0</v>
      </c>
      <c r="G44" s="176">
        <v>537</v>
      </c>
      <c r="H44" s="176">
        <v>609</v>
      </c>
      <c r="I44" s="141">
        <f t="shared" si="0"/>
        <v>0.88177339901477836</v>
      </c>
      <c r="J44" s="139" t="s">
        <v>1079</v>
      </c>
      <c r="K44" s="139" t="s">
        <v>1083</v>
      </c>
      <c r="L44" s="136" t="s">
        <v>117</v>
      </c>
    </row>
    <row r="45" spans="1:12" ht="15" customHeight="1" outlineLevel="2">
      <c r="A45" s="177" t="s">
        <v>857</v>
      </c>
      <c r="B45" s="178">
        <v>166</v>
      </c>
      <c r="C45" s="179" t="s">
        <v>1003</v>
      </c>
      <c r="D45" s="180" t="s">
        <v>1124</v>
      </c>
      <c r="E45" s="181">
        <v>9</v>
      </c>
      <c r="F45" s="181">
        <v>0</v>
      </c>
      <c r="G45" s="182">
        <v>0</v>
      </c>
      <c r="H45" s="182">
        <v>16000</v>
      </c>
      <c r="I45" s="141">
        <f t="shared" si="0"/>
        <v>0</v>
      </c>
      <c r="J45" s="179" t="s">
        <v>1079</v>
      </c>
      <c r="K45" s="179" t="s">
        <v>1102</v>
      </c>
      <c r="L45" s="180" t="s">
        <v>117</v>
      </c>
    </row>
    <row r="46" spans="1:12" ht="15" customHeight="1" outlineLevel="2">
      <c r="A46" s="137" t="s">
        <v>857</v>
      </c>
      <c r="B46" s="138">
        <v>167</v>
      </c>
      <c r="C46" s="139" t="s">
        <v>1005</v>
      </c>
      <c r="D46" s="136" t="s">
        <v>1127</v>
      </c>
      <c r="E46" s="140">
        <v>12</v>
      </c>
      <c r="F46" s="140">
        <v>3</v>
      </c>
      <c r="G46" s="176">
        <v>2269</v>
      </c>
      <c r="H46" s="176">
        <v>3738</v>
      </c>
      <c r="I46" s="141">
        <f t="shared" si="0"/>
        <v>0.60700909577314077</v>
      </c>
      <c r="J46" s="139" t="s">
        <v>1079</v>
      </c>
      <c r="K46" s="139" t="s">
        <v>1080</v>
      </c>
      <c r="L46" s="136" t="s">
        <v>117</v>
      </c>
    </row>
    <row r="47" spans="1:12" ht="15" customHeight="1" outlineLevel="2">
      <c r="A47" s="137" t="s">
        <v>857</v>
      </c>
      <c r="B47" s="138">
        <v>168</v>
      </c>
      <c r="C47" s="139" t="s">
        <v>1007</v>
      </c>
      <c r="D47" s="136" t="s">
        <v>1127</v>
      </c>
      <c r="E47" s="140">
        <v>0</v>
      </c>
      <c r="F47" s="140">
        <v>0</v>
      </c>
      <c r="G47" s="176">
        <v>0</v>
      </c>
      <c r="H47" s="176">
        <v>1976</v>
      </c>
      <c r="I47" s="141">
        <f t="shared" si="0"/>
        <v>0</v>
      </c>
      <c r="J47" s="139" t="s">
        <v>1079</v>
      </c>
      <c r="K47" s="139" t="s">
        <v>1080</v>
      </c>
      <c r="L47" s="136" t="s">
        <v>117</v>
      </c>
    </row>
    <row r="48" spans="1:12" ht="15" customHeight="1" outlineLevel="2">
      <c r="A48" s="137" t="s">
        <v>857</v>
      </c>
      <c r="B48" s="138">
        <v>169</v>
      </c>
      <c r="C48" s="139" t="s">
        <v>1009</v>
      </c>
      <c r="D48" s="136" t="s">
        <v>1124</v>
      </c>
      <c r="E48" s="140">
        <v>1</v>
      </c>
      <c r="F48" s="140">
        <v>0</v>
      </c>
      <c r="G48" s="176">
        <v>200</v>
      </c>
      <c r="H48" s="176">
        <v>200</v>
      </c>
      <c r="I48" s="141">
        <f t="shared" si="0"/>
        <v>1</v>
      </c>
    </row>
    <row r="49" spans="1:12" ht="15" customHeight="1" outlineLevel="2">
      <c r="A49" s="137" t="s">
        <v>857</v>
      </c>
      <c r="B49" s="138">
        <v>184</v>
      </c>
      <c r="C49" s="139" t="s">
        <v>1011</v>
      </c>
      <c r="D49" s="136" t="s">
        <v>1128</v>
      </c>
      <c r="E49" s="140">
        <v>4</v>
      </c>
      <c r="F49" s="140">
        <v>3</v>
      </c>
      <c r="G49" s="176">
        <v>707</v>
      </c>
      <c r="H49" s="176">
        <v>940</v>
      </c>
      <c r="I49" s="141">
        <f t="shared" si="0"/>
        <v>0.75212765957446803</v>
      </c>
      <c r="J49" s="139" t="s">
        <v>1079</v>
      </c>
      <c r="K49" s="139" t="s">
        <v>1085</v>
      </c>
      <c r="L49" s="136" t="s">
        <v>117</v>
      </c>
    </row>
    <row r="50" spans="1:12" ht="15" customHeight="1" outlineLevel="2">
      <c r="A50" s="137" t="s">
        <v>857</v>
      </c>
      <c r="B50" s="138">
        <v>185</v>
      </c>
      <c r="C50" s="139" t="s">
        <v>1013</v>
      </c>
      <c r="D50" s="136" t="s">
        <v>1128</v>
      </c>
      <c r="E50" s="140">
        <v>1</v>
      </c>
      <c r="F50" s="140">
        <v>0</v>
      </c>
      <c r="G50" s="176">
        <v>900</v>
      </c>
      <c r="H50" s="176">
        <v>960</v>
      </c>
      <c r="I50" s="141">
        <f t="shared" si="0"/>
        <v>0.9375</v>
      </c>
      <c r="J50" s="139" t="s">
        <v>1079</v>
      </c>
      <c r="K50" s="139" t="s">
        <v>1085</v>
      </c>
      <c r="L50" s="136" t="s">
        <v>117</v>
      </c>
    </row>
    <row r="51" spans="1:12" ht="15" customHeight="1" outlineLevel="2">
      <c r="A51" s="137" t="s">
        <v>857</v>
      </c>
      <c r="B51" s="138">
        <v>186</v>
      </c>
      <c r="C51" s="139" t="s">
        <v>1015</v>
      </c>
      <c r="D51" s="136" t="s">
        <v>1128</v>
      </c>
      <c r="E51" s="140">
        <v>1</v>
      </c>
      <c r="F51" s="140">
        <v>0</v>
      </c>
      <c r="G51" s="176">
        <v>900</v>
      </c>
      <c r="H51" s="176">
        <v>960</v>
      </c>
      <c r="I51" s="141">
        <f t="shared" si="0"/>
        <v>0.9375</v>
      </c>
      <c r="J51" s="139" t="s">
        <v>1079</v>
      </c>
      <c r="K51" s="139" t="s">
        <v>1085</v>
      </c>
      <c r="L51" s="136" t="s">
        <v>117</v>
      </c>
    </row>
    <row r="52" spans="1:12" ht="15" customHeight="1" outlineLevel="2">
      <c r="A52" s="137" t="s">
        <v>857</v>
      </c>
      <c r="B52" s="138">
        <v>190</v>
      </c>
      <c r="C52" s="139" t="s">
        <v>1017</v>
      </c>
      <c r="D52" s="136" t="s">
        <v>1121</v>
      </c>
      <c r="E52" s="140">
        <v>0</v>
      </c>
      <c r="F52" s="140">
        <v>0</v>
      </c>
      <c r="G52" s="176">
        <v>0</v>
      </c>
      <c r="H52" s="176">
        <v>300</v>
      </c>
      <c r="I52" s="141">
        <f t="shared" si="0"/>
        <v>0</v>
      </c>
    </row>
    <row r="53" spans="1:12" ht="15" customHeight="1" outlineLevel="2">
      <c r="A53" s="137" t="s">
        <v>857</v>
      </c>
      <c r="B53" s="138">
        <v>191</v>
      </c>
      <c r="C53" s="139" t="s">
        <v>1019</v>
      </c>
      <c r="D53" s="136" t="s">
        <v>1121</v>
      </c>
      <c r="E53" s="140">
        <v>0</v>
      </c>
      <c r="F53" s="140">
        <v>0</v>
      </c>
      <c r="G53" s="176">
        <v>0</v>
      </c>
      <c r="H53" s="176">
        <v>300</v>
      </c>
      <c r="I53" s="141">
        <f t="shared" si="0"/>
        <v>0</v>
      </c>
    </row>
    <row r="54" spans="1:12" ht="15" customHeight="1" outlineLevel="2">
      <c r="A54" s="137" t="s">
        <v>857</v>
      </c>
      <c r="B54" s="138">
        <v>192</v>
      </c>
      <c r="C54" s="139" t="s">
        <v>1021</v>
      </c>
      <c r="D54" s="136" t="s">
        <v>1121</v>
      </c>
      <c r="E54" s="140">
        <v>0</v>
      </c>
      <c r="F54" s="140">
        <v>0</v>
      </c>
      <c r="G54" s="176">
        <v>0</v>
      </c>
      <c r="H54" s="176">
        <v>300</v>
      </c>
      <c r="I54" s="141">
        <f t="shared" si="0"/>
        <v>0</v>
      </c>
    </row>
    <row r="55" spans="1:12" ht="15" customHeight="1" outlineLevel="2">
      <c r="A55" s="137" t="s">
        <v>857</v>
      </c>
      <c r="B55" s="138">
        <v>193</v>
      </c>
      <c r="C55" s="139" t="s">
        <v>1023</v>
      </c>
      <c r="D55" s="136" t="s">
        <v>1121</v>
      </c>
      <c r="E55" s="140">
        <v>0</v>
      </c>
      <c r="F55" s="140">
        <v>0</v>
      </c>
      <c r="G55" s="176">
        <v>0</v>
      </c>
      <c r="H55" s="176">
        <v>300</v>
      </c>
      <c r="I55" s="141">
        <f t="shared" si="0"/>
        <v>0</v>
      </c>
    </row>
    <row r="56" spans="1:12" ht="15" customHeight="1" outlineLevel="2">
      <c r="A56" s="137" t="s">
        <v>857</v>
      </c>
      <c r="B56" s="138">
        <v>194</v>
      </c>
      <c r="C56" s="139" t="s">
        <v>1025</v>
      </c>
      <c r="D56" s="136" t="s">
        <v>1121</v>
      </c>
      <c r="E56" s="140">
        <v>0</v>
      </c>
      <c r="F56" s="140">
        <v>0</v>
      </c>
      <c r="G56" s="176">
        <v>0</v>
      </c>
      <c r="H56" s="176">
        <v>300</v>
      </c>
      <c r="I56" s="141">
        <f t="shared" si="0"/>
        <v>0</v>
      </c>
    </row>
    <row r="57" spans="1:12" ht="15" customHeight="1" outlineLevel="2">
      <c r="A57" s="137" t="s">
        <v>857</v>
      </c>
      <c r="B57" s="138">
        <v>195</v>
      </c>
      <c r="C57" s="139" t="s">
        <v>1027</v>
      </c>
      <c r="D57" s="136" t="s">
        <v>1128</v>
      </c>
      <c r="E57" s="140">
        <v>0</v>
      </c>
      <c r="F57" s="140">
        <v>0</v>
      </c>
      <c r="G57" s="176">
        <v>0</v>
      </c>
      <c r="H57" s="176">
        <v>300</v>
      </c>
      <c r="I57" s="141">
        <f t="shared" si="0"/>
        <v>0</v>
      </c>
    </row>
    <row r="58" spans="1:12" ht="15" customHeight="1" outlineLevel="2">
      <c r="A58" s="137" t="s">
        <v>857</v>
      </c>
      <c r="B58" s="138">
        <v>196</v>
      </c>
      <c r="C58" s="139" t="s">
        <v>1029</v>
      </c>
      <c r="D58" s="136" t="s">
        <v>1119</v>
      </c>
      <c r="E58" s="140">
        <v>4</v>
      </c>
      <c r="F58" s="140">
        <v>4</v>
      </c>
      <c r="G58" s="176">
        <v>420</v>
      </c>
      <c r="H58" s="176">
        <v>480</v>
      </c>
      <c r="I58" s="141">
        <f t="shared" si="0"/>
        <v>0.875</v>
      </c>
      <c r="J58" s="139" t="s">
        <v>1079</v>
      </c>
      <c r="K58" s="139" t="s">
        <v>1085</v>
      </c>
      <c r="L58" s="136" t="s">
        <v>117</v>
      </c>
    </row>
    <row r="59" spans="1:12" ht="15" customHeight="1" outlineLevel="2">
      <c r="A59" s="137" t="s">
        <v>857</v>
      </c>
      <c r="B59" s="138">
        <v>197</v>
      </c>
      <c r="C59" s="139" t="s">
        <v>1031</v>
      </c>
      <c r="D59" s="136" t="s">
        <v>1129</v>
      </c>
      <c r="E59" s="140">
        <v>144</v>
      </c>
      <c r="F59" s="140">
        <v>1641</v>
      </c>
      <c r="G59" s="176">
        <v>61594</v>
      </c>
      <c r="H59" s="176">
        <v>79781</v>
      </c>
      <c r="I59" s="141">
        <f t="shared" si="0"/>
        <v>0.77203845527130521</v>
      </c>
      <c r="J59" s="139" t="s">
        <v>1079</v>
      </c>
      <c r="K59" s="139" t="s">
        <v>1083</v>
      </c>
      <c r="L59" s="136" t="s">
        <v>117</v>
      </c>
    </row>
    <row r="60" spans="1:12" ht="15" customHeight="1" outlineLevel="2">
      <c r="A60" s="137" t="s">
        <v>857</v>
      </c>
      <c r="B60" s="138">
        <v>198</v>
      </c>
      <c r="C60" s="139" t="s">
        <v>1033</v>
      </c>
      <c r="D60" s="136" t="s">
        <v>1130</v>
      </c>
      <c r="E60" s="140">
        <v>37</v>
      </c>
      <c r="F60" s="140">
        <v>404</v>
      </c>
      <c r="G60" s="176">
        <v>12623</v>
      </c>
      <c r="H60" s="176">
        <v>15796</v>
      </c>
      <c r="I60" s="141">
        <f t="shared" si="0"/>
        <v>0.79912636110407698</v>
      </c>
      <c r="J60" s="139" t="s">
        <v>1079</v>
      </c>
      <c r="K60" s="139" t="s">
        <v>1083</v>
      </c>
      <c r="L60" s="136" t="s">
        <v>117</v>
      </c>
    </row>
    <row r="61" spans="1:12" ht="15" customHeight="1" outlineLevel="2">
      <c r="A61" s="137" t="s">
        <v>857</v>
      </c>
      <c r="B61" s="138">
        <v>199</v>
      </c>
      <c r="C61" s="139" t="s">
        <v>1035</v>
      </c>
      <c r="D61" s="136" t="s">
        <v>1130</v>
      </c>
      <c r="E61" s="140">
        <v>2</v>
      </c>
      <c r="F61" s="140">
        <v>2</v>
      </c>
      <c r="G61" s="176">
        <v>161</v>
      </c>
      <c r="H61" s="176">
        <v>91592</v>
      </c>
      <c r="I61" s="141">
        <f t="shared" si="0"/>
        <v>1.7577954406498384E-3</v>
      </c>
      <c r="J61" s="139" t="s">
        <v>1079</v>
      </c>
      <c r="K61" s="139" t="s">
        <v>1083</v>
      </c>
      <c r="L61" s="136" t="s">
        <v>117</v>
      </c>
    </row>
    <row r="62" spans="1:12" ht="15" customHeight="1" outlineLevel="2">
      <c r="A62" s="137" t="s">
        <v>857</v>
      </c>
      <c r="B62" s="138">
        <v>200</v>
      </c>
      <c r="C62" s="139" t="s">
        <v>1037</v>
      </c>
      <c r="D62" s="136" t="s">
        <v>1130</v>
      </c>
      <c r="E62" s="140">
        <v>83</v>
      </c>
      <c r="F62" s="140">
        <v>906</v>
      </c>
      <c r="G62" s="176">
        <v>23331</v>
      </c>
      <c r="H62" s="176">
        <v>32390</v>
      </c>
      <c r="I62" s="141">
        <f t="shared" si="0"/>
        <v>0.72031491200987963</v>
      </c>
      <c r="J62" s="139" t="s">
        <v>1079</v>
      </c>
      <c r="K62" s="139" t="s">
        <v>1083</v>
      </c>
      <c r="L62" s="136" t="s">
        <v>117</v>
      </c>
    </row>
    <row r="63" spans="1:12" ht="15" customHeight="1" outlineLevel="2">
      <c r="A63" s="137" t="s">
        <v>857</v>
      </c>
      <c r="B63" s="138">
        <v>201</v>
      </c>
      <c r="C63" s="139" t="s">
        <v>1038</v>
      </c>
      <c r="D63" s="136" t="s">
        <v>1131</v>
      </c>
      <c r="E63" s="140">
        <v>108</v>
      </c>
      <c r="F63" s="140">
        <v>434</v>
      </c>
      <c r="G63" s="176">
        <v>28729</v>
      </c>
      <c r="H63" s="176">
        <v>40656</v>
      </c>
      <c r="I63" s="141">
        <f t="shared" si="0"/>
        <v>0.70663616686343955</v>
      </c>
      <c r="J63" s="139" t="s">
        <v>1079</v>
      </c>
      <c r="K63" s="139" t="s">
        <v>1083</v>
      </c>
      <c r="L63" s="136" t="s">
        <v>117</v>
      </c>
    </row>
    <row r="64" spans="1:12" ht="15" customHeight="1" outlineLevel="2">
      <c r="A64" s="137" t="s">
        <v>857</v>
      </c>
      <c r="B64" s="138">
        <v>202</v>
      </c>
      <c r="C64" s="139" t="s">
        <v>1039</v>
      </c>
      <c r="D64" s="136" t="s">
        <v>1116</v>
      </c>
      <c r="E64" s="140">
        <v>0</v>
      </c>
      <c r="F64" s="140">
        <v>0</v>
      </c>
      <c r="G64" s="176">
        <v>0</v>
      </c>
      <c r="H64" s="176">
        <v>354</v>
      </c>
      <c r="I64" s="141">
        <f t="shared" si="0"/>
        <v>0</v>
      </c>
      <c r="J64" s="139" t="s">
        <v>1079</v>
      </c>
      <c r="K64" s="139" t="s">
        <v>1083</v>
      </c>
      <c r="L64" s="136" t="s">
        <v>117</v>
      </c>
    </row>
    <row r="65" spans="1:12" ht="15" customHeight="1" outlineLevel="2">
      <c r="A65" s="137" t="s">
        <v>857</v>
      </c>
      <c r="B65" s="138">
        <v>203</v>
      </c>
      <c r="C65" s="139" t="s">
        <v>1040</v>
      </c>
      <c r="D65" s="136" t="s">
        <v>1129</v>
      </c>
      <c r="E65" s="140">
        <v>0</v>
      </c>
      <c r="F65" s="140">
        <v>0</v>
      </c>
      <c r="G65" s="176">
        <v>0</v>
      </c>
      <c r="H65" s="176">
        <v>2649</v>
      </c>
      <c r="I65" s="141">
        <f t="shared" si="0"/>
        <v>0</v>
      </c>
      <c r="J65" s="139" t="s">
        <v>1079</v>
      </c>
      <c r="K65" s="139" t="s">
        <v>1083</v>
      </c>
      <c r="L65" s="136" t="s">
        <v>117</v>
      </c>
    </row>
    <row r="66" spans="1:12" ht="15" customHeight="1" outlineLevel="2">
      <c r="A66" s="137" t="s">
        <v>857</v>
      </c>
      <c r="B66" s="138">
        <v>204</v>
      </c>
      <c r="C66" s="139" t="s">
        <v>1041</v>
      </c>
      <c r="D66" s="136" t="s">
        <v>1118</v>
      </c>
      <c r="E66" s="140">
        <v>0</v>
      </c>
      <c r="F66" s="140">
        <v>0</v>
      </c>
      <c r="G66" s="176">
        <v>0</v>
      </c>
      <c r="H66" s="176">
        <v>532</v>
      </c>
      <c r="I66" s="141">
        <f t="shared" si="0"/>
        <v>0</v>
      </c>
      <c r="J66" s="139" t="s">
        <v>1079</v>
      </c>
      <c r="K66" s="139" t="s">
        <v>1083</v>
      </c>
      <c r="L66" s="136" t="s">
        <v>117</v>
      </c>
    </row>
    <row r="67" spans="1:12" ht="15" customHeight="1" outlineLevel="2">
      <c r="A67" s="137" t="s">
        <v>857</v>
      </c>
      <c r="B67" s="138">
        <v>205</v>
      </c>
      <c r="C67" s="139" t="s">
        <v>1042</v>
      </c>
      <c r="D67" s="136" t="s">
        <v>1104</v>
      </c>
      <c r="E67" s="140">
        <v>0</v>
      </c>
      <c r="F67" s="140">
        <v>0</v>
      </c>
      <c r="G67" s="176">
        <v>0</v>
      </c>
      <c r="H67" s="176">
        <v>653</v>
      </c>
      <c r="I67" s="141">
        <f t="shared" si="0"/>
        <v>0</v>
      </c>
      <c r="J67" s="139" t="s">
        <v>1079</v>
      </c>
      <c r="K67" s="139" t="s">
        <v>1083</v>
      </c>
      <c r="L67" s="136" t="s">
        <v>117</v>
      </c>
    </row>
    <row r="68" spans="1:12" ht="15" customHeight="1" outlineLevel="2">
      <c r="A68" s="137" t="s">
        <v>857</v>
      </c>
      <c r="B68" s="138">
        <v>206</v>
      </c>
      <c r="C68" s="139" t="s">
        <v>1043</v>
      </c>
      <c r="D68" s="136" t="s">
        <v>1127</v>
      </c>
      <c r="E68" s="140">
        <v>0</v>
      </c>
      <c r="F68" s="140">
        <v>0</v>
      </c>
      <c r="G68" s="176">
        <v>0</v>
      </c>
      <c r="H68" s="176">
        <v>1984</v>
      </c>
      <c r="I68" s="141">
        <f t="shared" si="0"/>
        <v>0</v>
      </c>
      <c r="J68" s="139" t="s">
        <v>1079</v>
      </c>
      <c r="K68" s="139" t="s">
        <v>1083</v>
      </c>
      <c r="L68" s="136" t="s">
        <v>117</v>
      </c>
    </row>
    <row r="69" spans="1:12" ht="15" customHeight="1" outlineLevel="2">
      <c r="A69" s="137" t="s">
        <v>857</v>
      </c>
      <c r="B69" s="138">
        <v>207</v>
      </c>
      <c r="C69" s="139" t="s">
        <v>1044</v>
      </c>
      <c r="D69" s="136" t="s">
        <v>1127</v>
      </c>
      <c r="E69" s="140">
        <v>0</v>
      </c>
      <c r="F69" s="140">
        <v>0</v>
      </c>
      <c r="G69" s="176">
        <v>0</v>
      </c>
      <c r="H69" s="176">
        <v>725</v>
      </c>
      <c r="I69" s="141">
        <f t="shared" si="0"/>
        <v>0</v>
      </c>
      <c r="J69" s="139" t="s">
        <v>1079</v>
      </c>
      <c r="K69" s="139" t="s">
        <v>1083</v>
      </c>
      <c r="L69" s="136" t="s">
        <v>117</v>
      </c>
    </row>
    <row r="70" spans="1:12" ht="15" customHeight="1" outlineLevel="2">
      <c r="A70" s="137" t="s">
        <v>857</v>
      </c>
      <c r="B70" s="138">
        <v>208</v>
      </c>
      <c r="C70" s="139" t="s">
        <v>1045</v>
      </c>
      <c r="D70" s="136" t="s">
        <v>1128</v>
      </c>
      <c r="E70" s="140">
        <v>1</v>
      </c>
      <c r="F70" s="140">
        <v>0</v>
      </c>
      <c r="G70" s="176">
        <v>52</v>
      </c>
      <c r="H70" s="176">
        <v>477</v>
      </c>
      <c r="I70" s="141">
        <f t="shared" ref="I70:I88" si="1">+G70/H70</f>
        <v>0.1090146750524109</v>
      </c>
      <c r="J70" s="139" t="s">
        <v>1079</v>
      </c>
      <c r="K70" s="139" t="s">
        <v>1085</v>
      </c>
      <c r="L70" s="136" t="s">
        <v>117</v>
      </c>
    </row>
    <row r="71" spans="1:12" ht="15" customHeight="1" outlineLevel="2">
      <c r="A71" s="137" t="s">
        <v>857</v>
      </c>
      <c r="B71" s="138">
        <v>209</v>
      </c>
      <c r="C71" s="139" t="s">
        <v>1046</v>
      </c>
      <c r="D71" s="136" t="s">
        <v>1116</v>
      </c>
      <c r="E71" s="140">
        <v>0</v>
      </c>
      <c r="F71" s="140">
        <v>0</v>
      </c>
      <c r="G71" s="176">
        <v>0</v>
      </c>
      <c r="H71" s="176">
        <v>39</v>
      </c>
      <c r="I71" s="141">
        <f t="shared" si="1"/>
        <v>0</v>
      </c>
      <c r="J71" s="139" t="s">
        <v>1079</v>
      </c>
      <c r="K71" s="139" t="s">
        <v>1083</v>
      </c>
      <c r="L71" s="136" t="s">
        <v>117</v>
      </c>
    </row>
    <row r="72" spans="1:12" ht="15" customHeight="1" outlineLevel="2">
      <c r="A72" s="137" t="s">
        <v>857</v>
      </c>
      <c r="B72" s="138">
        <v>210</v>
      </c>
      <c r="C72" s="139" t="s">
        <v>1047</v>
      </c>
      <c r="D72" s="136" t="s">
        <v>1109</v>
      </c>
      <c r="E72" s="140">
        <v>0</v>
      </c>
      <c r="F72" s="140">
        <v>0</v>
      </c>
      <c r="G72" s="176">
        <v>0</v>
      </c>
      <c r="H72" s="176">
        <v>1316</v>
      </c>
      <c r="I72" s="141">
        <f t="shared" si="1"/>
        <v>0</v>
      </c>
      <c r="J72" s="139" t="s">
        <v>1079</v>
      </c>
      <c r="K72" s="139" t="s">
        <v>1083</v>
      </c>
      <c r="L72" s="136" t="s">
        <v>117</v>
      </c>
    </row>
    <row r="73" spans="1:12" ht="15" customHeight="1" outlineLevel="2">
      <c r="A73" s="137" t="s">
        <v>857</v>
      </c>
      <c r="B73" s="138">
        <v>211</v>
      </c>
      <c r="C73" s="139" t="s">
        <v>1048</v>
      </c>
      <c r="D73" s="136" t="s">
        <v>1129</v>
      </c>
      <c r="E73" s="140">
        <v>81</v>
      </c>
      <c r="F73" s="140">
        <v>678</v>
      </c>
      <c r="G73" s="176">
        <v>24851</v>
      </c>
      <c r="H73" s="176">
        <v>51669</v>
      </c>
      <c r="I73" s="141">
        <f t="shared" si="1"/>
        <v>0.48096537575722387</v>
      </c>
      <c r="J73" s="139" t="s">
        <v>1079</v>
      </c>
      <c r="K73" s="139" t="s">
        <v>1083</v>
      </c>
      <c r="L73" s="136" t="s">
        <v>117</v>
      </c>
    </row>
    <row r="74" spans="1:12" ht="15" customHeight="1" outlineLevel="2">
      <c r="A74" s="137" t="s">
        <v>857</v>
      </c>
      <c r="B74" s="138">
        <v>212</v>
      </c>
      <c r="C74" s="139" t="s">
        <v>1049</v>
      </c>
      <c r="D74" s="136" t="s">
        <v>1122</v>
      </c>
      <c r="E74" s="140">
        <v>1</v>
      </c>
      <c r="F74" s="140">
        <v>0</v>
      </c>
      <c r="G74" s="176">
        <v>1835</v>
      </c>
      <c r="H74" s="176">
        <v>1920</v>
      </c>
      <c r="I74" s="141">
        <f t="shared" si="1"/>
        <v>0.95572916666666663</v>
      </c>
      <c r="J74" s="139" t="s">
        <v>1079</v>
      </c>
      <c r="K74" s="139" t="s">
        <v>1085</v>
      </c>
      <c r="L74" s="136" t="s">
        <v>117</v>
      </c>
    </row>
    <row r="75" spans="1:12" ht="15" customHeight="1" outlineLevel="2">
      <c r="A75" s="137" t="s">
        <v>857</v>
      </c>
      <c r="B75" s="138">
        <v>213</v>
      </c>
      <c r="C75" s="139" t="s">
        <v>1050</v>
      </c>
      <c r="D75" s="136" t="s">
        <v>1122</v>
      </c>
      <c r="E75" s="140">
        <v>4</v>
      </c>
      <c r="F75" s="140">
        <v>7</v>
      </c>
      <c r="G75" s="176">
        <v>695</v>
      </c>
      <c r="H75" s="176">
        <v>960</v>
      </c>
      <c r="I75" s="141">
        <f t="shared" si="1"/>
        <v>0.72395833333333337</v>
      </c>
      <c r="J75" s="139" t="s">
        <v>1079</v>
      </c>
      <c r="K75" s="139" t="s">
        <v>1085</v>
      </c>
      <c r="L75" s="136" t="s">
        <v>117</v>
      </c>
    </row>
    <row r="76" spans="1:12" ht="15" customHeight="1" outlineLevel="2">
      <c r="A76" s="137" t="s">
        <v>857</v>
      </c>
      <c r="B76" s="138">
        <v>214</v>
      </c>
      <c r="C76" s="139" t="s">
        <v>1051</v>
      </c>
      <c r="D76" s="136" t="s">
        <v>1122</v>
      </c>
      <c r="E76" s="140">
        <v>3</v>
      </c>
      <c r="F76" s="140">
        <v>12</v>
      </c>
      <c r="G76" s="176">
        <v>878</v>
      </c>
      <c r="H76" s="176">
        <v>960</v>
      </c>
      <c r="I76" s="141">
        <f t="shared" si="1"/>
        <v>0.9145833333333333</v>
      </c>
      <c r="J76" s="139" t="s">
        <v>1079</v>
      </c>
      <c r="K76" s="139" t="s">
        <v>1085</v>
      </c>
      <c r="L76" s="136" t="s">
        <v>117</v>
      </c>
    </row>
    <row r="77" spans="1:12" ht="15" customHeight="1" outlineLevel="2">
      <c r="A77" s="137" t="s">
        <v>857</v>
      </c>
      <c r="B77" s="138">
        <v>215</v>
      </c>
      <c r="C77" s="139" t="s">
        <v>1052</v>
      </c>
      <c r="D77" s="136" t="s">
        <v>1122</v>
      </c>
      <c r="E77" s="140">
        <v>4</v>
      </c>
      <c r="F77" s="140">
        <v>28</v>
      </c>
      <c r="G77" s="176">
        <v>900</v>
      </c>
      <c r="H77" s="176">
        <v>960</v>
      </c>
      <c r="I77" s="141">
        <f t="shared" si="1"/>
        <v>0.9375</v>
      </c>
      <c r="J77" s="139" t="s">
        <v>1079</v>
      </c>
      <c r="K77" s="139" t="s">
        <v>1085</v>
      </c>
      <c r="L77" s="136" t="s">
        <v>117</v>
      </c>
    </row>
    <row r="78" spans="1:12" ht="15" customHeight="1" outlineLevel="2">
      <c r="A78" s="137" t="s">
        <v>857</v>
      </c>
      <c r="B78" s="138">
        <v>216</v>
      </c>
      <c r="C78" s="139" t="s">
        <v>1053</v>
      </c>
      <c r="D78" s="136" t="s">
        <v>1122</v>
      </c>
      <c r="E78" s="140">
        <v>1</v>
      </c>
      <c r="F78" s="140">
        <v>24</v>
      </c>
      <c r="G78" s="176">
        <v>900</v>
      </c>
      <c r="H78" s="176">
        <v>960</v>
      </c>
      <c r="I78" s="141">
        <f t="shared" si="1"/>
        <v>0.9375</v>
      </c>
      <c r="J78" s="139" t="s">
        <v>1079</v>
      </c>
      <c r="K78" s="139" t="s">
        <v>1085</v>
      </c>
      <c r="L78" s="136" t="s">
        <v>117</v>
      </c>
    </row>
    <row r="79" spans="1:12" ht="15" customHeight="1" outlineLevel="2">
      <c r="A79" s="137" t="s">
        <v>857</v>
      </c>
      <c r="B79" s="138">
        <v>217</v>
      </c>
      <c r="C79" s="139" t="s">
        <v>1054</v>
      </c>
      <c r="D79" s="136" t="s">
        <v>1122</v>
      </c>
      <c r="E79" s="140">
        <v>1</v>
      </c>
      <c r="F79" s="140">
        <v>42</v>
      </c>
      <c r="G79" s="176">
        <v>900</v>
      </c>
      <c r="H79" s="176">
        <v>960</v>
      </c>
      <c r="I79" s="141">
        <f t="shared" si="1"/>
        <v>0.9375</v>
      </c>
      <c r="J79" s="139" t="s">
        <v>1079</v>
      </c>
      <c r="K79" s="139" t="s">
        <v>1085</v>
      </c>
      <c r="L79" s="136" t="s">
        <v>117</v>
      </c>
    </row>
    <row r="80" spans="1:12" ht="15" customHeight="1" outlineLevel="2">
      <c r="A80" s="137" t="s">
        <v>857</v>
      </c>
      <c r="B80" s="138">
        <v>218</v>
      </c>
      <c r="C80" s="139" t="s">
        <v>1055</v>
      </c>
      <c r="D80" s="136" t="s">
        <v>1128</v>
      </c>
      <c r="E80" s="140">
        <v>2</v>
      </c>
      <c r="F80" s="140">
        <v>0</v>
      </c>
      <c r="G80" s="176">
        <v>104</v>
      </c>
      <c r="H80" s="176">
        <v>477</v>
      </c>
      <c r="I80" s="141">
        <f t="shared" si="1"/>
        <v>0.2180293501048218</v>
      </c>
      <c r="J80" s="139" t="s">
        <v>1079</v>
      </c>
      <c r="K80" s="139" t="s">
        <v>1085</v>
      </c>
      <c r="L80" s="136" t="s">
        <v>117</v>
      </c>
    </row>
    <row r="81" spans="1:12" ht="15" customHeight="1" outlineLevel="2">
      <c r="A81" s="137" t="s">
        <v>857</v>
      </c>
      <c r="B81" s="138">
        <v>219</v>
      </c>
      <c r="C81" s="139" t="s">
        <v>1056</v>
      </c>
      <c r="D81" s="136" t="s">
        <v>1122</v>
      </c>
      <c r="E81" s="140">
        <v>1</v>
      </c>
      <c r="F81" s="140">
        <v>0</v>
      </c>
      <c r="G81" s="176">
        <v>52</v>
      </c>
      <c r="H81" s="176">
        <v>960</v>
      </c>
      <c r="I81" s="141">
        <f t="shared" si="1"/>
        <v>5.4166666666666669E-2</v>
      </c>
      <c r="J81" s="139" t="s">
        <v>1079</v>
      </c>
      <c r="K81" s="139" t="s">
        <v>1085</v>
      </c>
      <c r="L81" s="136" t="s">
        <v>117</v>
      </c>
    </row>
    <row r="82" spans="1:12" ht="15" customHeight="1" outlineLevel="2">
      <c r="A82" s="137" t="s">
        <v>857</v>
      </c>
      <c r="B82" s="138">
        <v>220</v>
      </c>
      <c r="C82" s="139" t="s">
        <v>1057</v>
      </c>
      <c r="D82" s="136" t="s">
        <v>1132</v>
      </c>
      <c r="E82" s="140">
        <v>1</v>
      </c>
      <c r="F82" s="140">
        <v>0</v>
      </c>
      <c r="G82" s="176">
        <v>382</v>
      </c>
      <c r="H82" s="176">
        <v>878</v>
      </c>
      <c r="I82" s="141">
        <f t="shared" si="1"/>
        <v>0.43507972665148065</v>
      </c>
      <c r="J82" s="139" t="s">
        <v>1079</v>
      </c>
      <c r="K82" s="139" t="s">
        <v>1083</v>
      </c>
      <c r="L82" s="136" t="s">
        <v>117</v>
      </c>
    </row>
    <row r="83" spans="1:12" ht="15" customHeight="1" outlineLevel="2">
      <c r="A83" s="137" t="s">
        <v>857</v>
      </c>
      <c r="B83" s="138">
        <v>221</v>
      </c>
      <c r="C83" s="139" t="s">
        <v>1058</v>
      </c>
      <c r="D83" s="136" t="s">
        <v>1118</v>
      </c>
      <c r="E83" s="140">
        <v>1</v>
      </c>
      <c r="F83" s="140">
        <v>0</v>
      </c>
      <c r="G83" s="176">
        <v>617</v>
      </c>
      <c r="H83" s="176">
        <v>625</v>
      </c>
      <c r="I83" s="141">
        <f t="shared" si="1"/>
        <v>0.98719999999999997</v>
      </c>
      <c r="J83" s="139" t="s">
        <v>1079</v>
      </c>
      <c r="K83" s="139" t="s">
        <v>1102</v>
      </c>
      <c r="L83" s="136" t="s">
        <v>117</v>
      </c>
    </row>
    <row r="84" spans="1:12" ht="15" customHeight="1" outlineLevel="2">
      <c r="A84" s="137" t="s">
        <v>857</v>
      </c>
      <c r="B84" s="138">
        <v>222</v>
      </c>
      <c r="C84" s="139" t="s">
        <v>1059</v>
      </c>
      <c r="D84" s="136" t="s">
        <v>1118</v>
      </c>
      <c r="E84" s="140">
        <v>1</v>
      </c>
      <c r="F84" s="140">
        <v>0</v>
      </c>
      <c r="G84" s="176">
        <v>612</v>
      </c>
      <c r="H84" s="176">
        <v>625</v>
      </c>
      <c r="I84" s="141">
        <f t="shared" si="1"/>
        <v>0.97919999999999996</v>
      </c>
      <c r="J84" s="139" t="s">
        <v>1079</v>
      </c>
      <c r="K84" s="139" t="s">
        <v>1102</v>
      </c>
      <c r="L84" s="136" t="s">
        <v>117</v>
      </c>
    </row>
    <row r="85" spans="1:12" ht="15" customHeight="1" outlineLevel="2">
      <c r="A85" s="137" t="s">
        <v>857</v>
      </c>
      <c r="B85" s="138">
        <v>223</v>
      </c>
      <c r="C85" s="139" t="s">
        <v>1060</v>
      </c>
      <c r="D85" s="136" t="s">
        <v>1109</v>
      </c>
      <c r="E85" s="140">
        <v>1</v>
      </c>
      <c r="F85" s="140">
        <v>0</v>
      </c>
      <c r="G85" s="176">
        <v>124</v>
      </c>
      <c r="H85" s="176">
        <v>199</v>
      </c>
      <c r="I85" s="141">
        <f t="shared" si="1"/>
        <v>0.62311557788944727</v>
      </c>
      <c r="J85" s="139" t="s">
        <v>1079</v>
      </c>
      <c r="K85" s="139" t="s">
        <v>1083</v>
      </c>
      <c r="L85" s="136" t="s">
        <v>117</v>
      </c>
    </row>
    <row r="86" spans="1:12" ht="15" customHeight="1" outlineLevel="2">
      <c r="A86" s="137" t="s">
        <v>857</v>
      </c>
      <c r="B86" s="138">
        <v>224</v>
      </c>
      <c r="C86" s="139" t="s">
        <v>1061</v>
      </c>
      <c r="D86" s="136" t="s">
        <v>1133</v>
      </c>
      <c r="E86" s="140">
        <v>2</v>
      </c>
      <c r="F86" s="140">
        <v>0</v>
      </c>
      <c r="G86" s="176">
        <v>578</v>
      </c>
      <c r="H86" s="176">
        <v>669</v>
      </c>
      <c r="I86" s="141">
        <f t="shared" si="1"/>
        <v>0.86397608370702539</v>
      </c>
      <c r="J86" s="139" t="s">
        <v>1079</v>
      </c>
      <c r="K86" s="139" t="s">
        <v>1083</v>
      </c>
      <c r="L86" s="136" t="s">
        <v>117</v>
      </c>
    </row>
    <row r="87" spans="1:12" ht="15" customHeight="1" outlineLevel="2">
      <c r="A87" s="137" t="s">
        <v>857</v>
      </c>
      <c r="B87" s="138">
        <v>231</v>
      </c>
      <c r="C87" s="139" t="s">
        <v>983</v>
      </c>
      <c r="D87" s="136" t="s">
        <v>1134</v>
      </c>
      <c r="E87" s="140">
        <v>1</v>
      </c>
      <c r="F87" s="140">
        <v>0</v>
      </c>
      <c r="G87" s="176">
        <v>300</v>
      </c>
      <c r="H87" s="176">
        <v>320</v>
      </c>
      <c r="I87" s="141">
        <f t="shared" si="1"/>
        <v>0.9375</v>
      </c>
      <c r="J87" s="139" t="s">
        <v>1079</v>
      </c>
      <c r="K87" s="139" t="s">
        <v>1085</v>
      </c>
      <c r="L87" s="136" t="s">
        <v>117</v>
      </c>
    </row>
    <row r="88" spans="1:12" s="424" customFormat="1" ht="15" customHeight="1" outlineLevel="2">
      <c r="A88" s="417" t="s">
        <v>857</v>
      </c>
      <c r="B88" s="418">
        <v>232</v>
      </c>
      <c r="C88" s="419" t="s">
        <v>1062</v>
      </c>
      <c r="D88" s="420" t="s">
        <v>1135</v>
      </c>
      <c r="E88" s="421">
        <v>2</v>
      </c>
      <c r="F88" s="421">
        <v>6</v>
      </c>
      <c r="G88" s="422">
        <v>1129</v>
      </c>
      <c r="H88" s="422">
        <v>1510</v>
      </c>
      <c r="I88" s="141">
        <f t="shared" si="1"/>
        <v>0.74768211920529803</v>
      </c>
      <c r="J88" s="419" t="s">
        <v>1079</v>
      </c>
      <c r="K88" s="419" t="s">
        <v>1083</v>
      </c>
      <c r="L88" s="420" t="s">
        <v>117</v>
      </c>
    </row>
    <row r="89" spans="1:12" ht="15" customHeight="1" outlineLevel="1">
      <c r="A89" s="184" t="s">
        <v>857</v>
      </c>
      <c r="B89" s="185"/>
      <c r="C89" s="186"/>
      <c r="D89" s="187"/>
      <c r="E89" s="188"/>
      <c r="F89" s="188"/>
      <c r="G89" s="189">
        <f>+SUBTOTAL(9,G5:G88)</f>
        <v>535502</v>
      </c>
      <c r="H89" s="189">
        <f>+SUBTOTAL(9,H5:H88)</f>
        <v>1426807</v>
      </c>
      <c r="I89" s="190"/>
      <c r="J89" s="186"/>
      <c r="K89" s="186"/>
      <c r="L89" s="187"/>
    </row>
    <row r="90" spans="1:12" ht="15" customHeight="1" outlineLevel="2">
      <c r="A90" s="137" t="s">
        <v>858</v>
      </c>
      <c r="B90" s="138">
        <v>1</v>
      </c>
      <c r="C90" s="139" t="s">
        <v>1136</v>
      </c>
      <c r="D90" s="136" t="s">
        <v>1137</v>
      </c>
      <c r="E90" s="140">
        <v>40</v>
      </c>
      <c r="F90" s="140">
        <v>533</v>
      </c>
      <c r="G90" s="176">
        <v>15971</v>
      </c>
      <c r="H90" s="176">
        <v>24369</v>
      </c>
      <c r="I90" s="141">
        <f>+G90/H90</f>
        <v>0.65538183758053259</v>
      </c>
      <c r="J90" s="139" t="s">
        <v>1079</v>
      </c>
      <c r="K90" s="139" t="s">
        <v>1083</v>
      </c>
      <c r="L90" s="136" t="s">
        <v>117</v>
      </c>
    </row>
    <row r="91" spans="1:12" ht="15" customHeight="1" outlineLevel="2">
      <c r="A91" s="137" t="s">
        <v>858</v>
      </c>
      <c r="B91" s="138">
        <v>2</v>
      </c>
      <c r="C91" s="139" t="s">
        <v>1138</v>
      </c>
      <c r="D91" s="136" t="s">
        <v>1137</v>
      </c>
      <c r="E91" s="140">
        <v>36</v>
      </c>
      <c r="F91" s="140">
        <v>220</v>
      </c>
      <c r="G91" s="176">
        <v>9031</v>
      </c>
      <c r="H91" s="176">
        <v>16218</v>
      </c>
      <c r="I91" s="141">
        <f t="shared" ref="I91:I154" si="2">+G91/H91</f>
        <v>0.5568504131212233</v>
      </c>
      <c r="J91" s="139" t="s">
        <v>1079</v>
      </c>
      <c r="K91" s="139" t="s">
        <v>1083</v>
      </c>
      <c r="L91" s="136" t="s">
        <v>117</v>
      </c>
    </row>
    <row r="92" spans="1:12" ht="15" customHeight="1" outlineLevel="2">
      <c r="A92" s="137" t="s">
        <v>858</v>
      </c>
      <c r="B92" s="138">
        <v>3</v>
      </c>
      <c r="C92" s="139" t="s">
        <v>1139</v>
      </c>
      <c r="D92" s="136" t="s">
        <v>1137</v>
      </c>
      <c r="E92" s="140">
        <v>22</v>
      </c>
      <c r="F92" s="140">
        <v>197</v>
      </c>
      <c r="G92" s="176">
        <v>10272</v>
      </c>
      <c r="H92" s="176">
        <v>13088</v>
      </c>
      <c r="I92" s="141">
        <f t="shared" si="2"/>
        <v>0.78484107579462103</v>
      </c>
      <c r="J92" s="139" t="s">
        <v>1079</v>
      </c>
      <c r="K92" s="139" t="s">
        <v>1083</v>
      </c>
      <c r="L92" s="136" t="s">
        <v>117</v>
      </c>
    </row>
    <row r="93" spans="1:12" ht="15" customHeight="1" outlineLevel="2">
      <c r="A93" s="137" t="s">
        <v>858</v>
      </c>
      <c r="B93" s="138">
        <v>4</v>
      </c>
      <c r="C93" s="139" t="s">
        <v>1140</v>
      </c>
      <c r="D93" s="136" t="s">
        <v>1137</v>
      </c>
      <c r="E93" s="140">
        <v>6</v>
      </c>
      <c r="F93" s="140">
        <v>71</v>
      </c>
      <c r="G93" s="176">
        <v>3300</v>
      </c>
      <c r="H93" s="176">
        <v>4321</v>
      </c>
      <c r="I93" s="141">
        <f t="shared" si="2"/>
        <v>0.76371210367970377</v>
      </c>
      <c r="J93" s="139" t="s">
        <v>1079</v>
      </c>
      <c r="K93" s="139" t="s">
        <v>1083</v>
      </c>
      <c r="L93" s="136" t="s">
        <v>117</v>
      </c>
    </row>
    <row r="94" spans="1:12" ht="15" customHeight="1" outlineLevel="2">
      <c r="A94" s="137" t="s">
        <v>858</v>
      </c>
      <c r="B94" s="138">
        <v>5</v>
      </c>
      <c r="C94" s="139" t="s">
        <v>1141</v>
      </c>
      <c r="D94" s="136" t="s">
        <v>1137</v>
      </c>
      <c r="E94" s="140">
        <v>2</v>
      </c>
      <c r="F94" s="140">
        <v>0</v>
      </c>
      <c r="G94" s="176">
        <v>1350</v>
      </c>
      <c r="H94" s="176">
        <v>1569</v>
      </c>
      <c r="I94" s="141">
        <f t="shared" si="2"/>
        <v>0.86042065009560231</v>
      </c>
      <c r="J94" s="139" t="s">
        <v>1079</v>
      </c>
      <c r="K94" s="139" t="s">
        <v>1083</v>
      </c>
      <c r="L94" s="136" t="s">
        <v>117</v>
      </c>
    </row>
    <row r="95" spans="1:12" ht="15" customHeight="1" outlineLevel="2">
      <c r="A95" s="137" t="s">
        <v>858</v>
      </c>
      <c r="B95" s="138">
        <v>6</v>
      </c>
      <c r="C95" s="139" t="s">
        <v>1142</v>
      </c>
      <c r="D95" s="136" t="s">
        <v>1143</v>
      </c>
      <c r="E95" s="140">
        <v>79</v>
      </c>
      <c r="F95" s="140">
        <v>1221</v>
      </c>
      <c r="G95" s="176">
        <v>32274</v>
      </c>
      <c r="H95" s="176">
        <v>53190</v>
      </c>
      <c r="I95" s="141">
        <f t="shared" si="2"/>
        <v>0.60676818950930622</v>
      </c>
      <c r="J95" s="139" t="s">
        <v>1079</v>
      </c>
      <c r="K95" s="139" t="s">
        <v>1083</v>
      </c>
      <c r="L95" s="136" t="s">
        <v>117</v>
      </c>
    </row>
    <row r="96" spans="1:12" ht="15" customHeight="1" outlineLevel="2">
      <c r="A96" s="137" t="s">
        <v>858</v>
      </c>
      <c r="B96" s="138">
        <v>7</v>
      </c>
      <c r="C96" s="139" t="s">
        <v>1144</v>
      </c>
      <c r="D96" s="136" t="s">
        <v>1145</v>
      </c>
      <c r="E96" s="140">
        <v>2</v>
      </c>
      <c r="F96" s="140">
        <v>0</v>
      </c>
      <c r="G96" s="176">
        <v>1350</v>
      </c>
      <c r="H96" s="176">
        <v>1569</v>
      </c>
      <c r="I96" s="141">
        <f t="shared" si="2"/>
        <v>0.86042065009560231</v>
      </c>
      <c r="J96" s="139" t="s">
        <v>1079</v>
      </c>
      <c r="K96" s="139" t="s">
        <v>1083</v>
      </c>
      <c r="L96" s="136" t="s">
        <v>117</v>
      </c>
    </row>
    <row r="97" spans="1:12" ht="15" customHeight="1" outlineLevel="2">
      <c r="A97" s="137" t="s">
        <v>858</v>
      </c>
      <c r="B97" s="138">
        <v>8</v>
      </c>
      <c r="C97" s="139" t="s">
        <v>1146</v>
      </c>
      <c r="D97" s="136" t="s">
        <v>1147</v>
      </c>
      <c r="E97" s="140">
        <v>5</v>
      </c>
      <c r="F97" s="140">
        <v>1</v>
      </c>
      <c r="G97" s="176">
        <v>3177</v>
      </c>
      <c r="H97" s="176">
        <v>3600</v>
      </c>
      <c r="I97" s="141">
        <f t="shared" si="2"/>
        <v>0.88249999999999995</v>
      </c>
      <c r="J97" s="139" t="s">
        <v>1079</v>
      </c>
      <c r="K97" s="139" t="s">
        <v>1083</v>
      </c>
      <c r="L97" s="136" t="s">
        <v>117</v>
      </c>
    </row>
    <row r="98" spans="1:12" ht="15" customHeight="1" outlineLevel="2">
      <c r="A98" s="137" t="s">
        <v>858</v>
      </c>
      <c r="B98" s="138">
        <v>9</v>
      </c>
      <c r="C98" s="139" t="s">
        <v>1148</v>
      </c>
      <c r="D98" s="136" t="s">
        <v>1119</v>
      </c>
      <c r="E98" s="140">
        <v>10</v>
      </c>
      <c r="F98" s="140">
        <v>29</v>
      </c>
      <c r="G98" s="176">
        <v>1300</v>
      </c>
      <c r="H98" s="176">
        <v>3200</v>
      </c>
      <c r="I98" s="141">
        <f t="shared" si="2"/>
        <v>0.40625</v>
      </c>
      <c r="J98" s="139" t="s">
        <v>1079</v>
      </c>
      <c r="K98" s="139" t="s">
        <v>1085</v>
      </c>
      <c r="L98" s="136" t="s">
        <v>117</v>
      </c>
    </row>
    <row r="99" spans="1:12" ht="15" customHeight="1" outlineLevel="2">
      <c r="A99" s="137" t="s">
        <v>858</v>
      </c>
      <c r="B99" s="138">
        <v>10</v>
      </c>
      <c r="C99" s="139" t="s">
        <v>1149</v>
      </c>
      <c r="D99" s="136" t="s">
        <v>1119</v>
      </c>
      <c r="E99" s="140">
        <v>6</v>
      </c>
      <c r="F99" s="140">
        <v>1</v>
      </c>
      <c r="G99" s="176">
        <v>2824</v>
      </c>
      <c r="H99" s="176">
        <v>3360</v>
      </c>
      <c r="I99" s="141">
        <f t="shared" si="2"/>
        <v>0.84047619047619049</v>
      </c>
      <c r="J99" s="139" t="s">
        <v>1079</v>
      </c>
      <c r="K99" s="139" t="s">
        <v>1085</v>
      </c>
      <c r="L99" s="136" t="s">
        <v>117</v>
      </c>
    </row>
    <row r="100" spans="1:12" ht="15" customHeight="1" outlineLevel="2">
      <c r="A100" s="137" t="s">
        <v>858</v>
      </c>
      <c r="B100" s="138">
        <v>11</v>
      </c>
      <c r="C100" s="139" t="s">
        <v>1150</v>
      </c>
      <c r="D100" s="136" t="s">
        <v>1119</v>
      </c>
      <c r="E100" s="140">
        <v>8</v>
      </c>
      <c r="F100" s="140">
        <v>22</v>
      </c>
      <c r="G100" s="176">
        <v>2088</v>
      </c>
      <c r="H100" s="176">
        <v>2880</v>
      </c>
      <c r="I100" s="141">
        <f t="shared" si="2"/>
        <v>0.72499999999999998</v>
      </c>
      <c r="J100" s="139" t="s">
        <v>1079</v>
      </c>
      <c r="K100" s="139" t="s">
        <v>1085</v>
      </c>
      <c r="L100" s="136" t="s">
        <v>117</v>
      </c>
    </row>
    <row r="101" spans="1:12" ht="15" customHeight="1" outlineLevel="2">
      <c r="A101" s="137" t="s">
        <v>858</v>
      </c>
      <c r="B101" s="138">
        <v>12</v>
      </c>
      <c r="C101" s="139" t="s">
        <v>1151</v>
      </c>
      <c r="D101" s="136" t="s">
        <v>1120</v>
      </c>
      <c r="E101" s="140">
        <v>9</v>
      </c>
      <c r="F101" s="140">
        <v>6</v>
      </c>
      <c r="G101" s="176">
        <v>3559</v>
      </c>
      <c r="H101" s="176">
        <v>4500</v>
      </c>
      <c r="I101" s="141">
        <f t="shared" si="2"/>
        <v>0.79088888888888886</v>
      </c>
      <c r="J101" s="139" t="s">
        <v>1079</v>
      </c>
      <c r="K101" s="139" t="s">
        <v>1102</v>
      </c>
      <c r="L101" s="136" t="s">
        <v>117</v>
      </c>
    </row>
    <row r="102" spans="1:12" ht="15" customHeight="1" outlineLevel="2">
      <c r="A102" s="137" t="s">
        <v>858</v>
      </c>
      <c r="B102" s="138">
        <v>13</v>
      </c>
      <c r="C102" s="139" t="s">
        <v>1152</v>
      </c>
      <c r="D102" s="136" t="s">
        <v>1122</v>
      </c>
      <c r="E102" s="140">
        <v>16</v>
      </c>
      <c r="F102" s="140">
        <v>123</v>
      </c>
      <c r="G102" s="176">
        <v>4914</v>
      </c>
      <c r="H102" s="176">
        <v>8235</v>
      </c>
      <c r="I102" s="141">
        <f t="shared" si="2"/>
        <v>0.59672131147540985</v>
      </c>
      <c r="J102" s="139" t="s">
        <v>1079</v>
      </c>
      <c r="K102" s="139" t="s">
        <v>1102</v>
      </c>
      <c r="L102" s="136" t="s">
        <v>117</v>
      </c>
    </row>
    <row r="103" spans="1:12" ht="15" customHeight="1" outlineLevel="2">
      <c r="A103" s="137" t="s">
        <v>858</v>
      </c>
      <c r="B103" s="138">
        <v>14</v>
      </c>
      <c r="C103" s="139" t="s">
        <v>1153</v>
      </c>
      <c r="D103" s="136" t="s">
        <v>1128</v>
      </c>
      <c r="E103" s="140">
        <v>9</v>
      </c>
      <c r="F103" s="140">
        <v>15</v>
      </c>
      <c r="G103" s="176">
        <v>611</v>
      </c>
      <c r="H103" s="176">
        <v>960</v>
      </c>
      <c r="I103" s="141">
        <f t="shared" si="2"/>
        <v>0.63645833333333335</v>
      </c>
      <c r="J103" s="139" t="s">
        <v>1079</v>
      </c>
      <c r="K103" s="139" t="s">
        <v>1085</v>
      </c>
      <c r="L103" s="136" t="s">
        <v>117</v>
      </c>
    </row>
    <row r="104" spans="1:12" ht="15" customHeight="1" outlineLevel="2">
      <c r="A104" s="137" t="s">
        <v>858</v>
      </c>
      <c r="B104" s="138">
        <v>15</v>
      </c>
      <c r="C104" s="139" t="s">
        <v>1154</v>
      </c>
      <c r="D104" s="136" t="s">
        <v>1128</v>
      </c>
      <c r="E104" s="140">
        <v>10</v>
      </c>
      <c r="F104" s="140">
        <v>15</v>
      </c>
      <c r="G104" s="176">
        <v>615</v>
      </c>
      <c r="H104" s="176">
        <v>960</v>
      </c>
      <c r="I104" s="141">
        <f t="shared" si="2"/>
        <v>0.640625</v>
      </c>
      <c r="J104" s="139" t="s">
        <v>1079</v>
      </c>
      <c r="K104" s="139" t="s">
        <v>1085</v>
      </c>
      <c r="L104" s="136" t="s">
        <v>117</v>
      </c>
    </row>
    <row r="105" spans="1:12" ht="15" customHeight="1" outlineLevel="2">
      <c r="A105" s="137" t="s">
        <v>858</v>
      </c>
      <c r="B105" s="138">
        <v>16</v>
      </c>
      <c r="C105" s="139" t="s">
        <v>1155</v>
      </c>
      <c r="D105" s="136" t="s">
        <v>1128</v>
      </c>
      <c r="E105" s="140">
        <v>1</v>
      </c>
      <c r="F105" s="140">
        <v>36</v>
      </c>
      <c r="G105" s="176">
        <v>900</v>
      </c>
      <c r="H105" s="176">
        <v>960</v>
      </c>
      <c r="I105" s="141">
        <f t="shared" si="2"/>
        <v>0.9375</v>
      </c>
      <c r="J105" s="139" t="s">
        <v>1079</v>
      </c>
      <c r="K105" s="139" t="s">
        <v>1085</v>
      </c>
      <c r="L105" s="136" t="s">
        <v>117</v>
      </c>
    </row>
    <row r="106" spans="1:12" ht="15" customHeight="1" outlineLevel="2">
      <c r="A106" s="137" t="s">
        <v>858</v>
      </c>
      <c r="B106" s="138">
        <v>18</v>
      </c>
      <c r="C106" s="139" t="s">
        <v>1156</v>
      </c>
      <c r="D106" s="136" t="s">
        <v>1128</v>
      </c>
      <c r="E106" s="140">
        <v>1</v>
      </c>
      <c r="F106" s="140">
        <v>36</v>
      </c>
      <c r="G106" s="176">
        <v>900</v>
      </c>
      <c r="H106" s="176">
        <v>960</v>
      </c>
      <c r="I106" s="141">
        <f t="shared" si="2"/>
        <v>0.9375</v>
      </c>
      <c r="J106" s="139" t="s">
        <v>1079</v>
      </c>
      <c r="K106" s="139" t="s">
        <v>1085</v>
      </c>
      <c r="L106" s="136" t="s">
        <v>117</v>
      </c>
    </row>
    <row r="107" spans="1:12" ht="15" customHeight="1" outlineLevel="2">
      <c r="A107" s="137" t="s">
        <v>858</v>
      </c>
      <c r="B107" s="138">
        <v>19</v>
      </c>
      <c r="C107" s="139" t="s">
        <v>1157</v>
      </c>
      <c r="D107" s="136" t="s">
        <v>1128</v>
      </c>
      <c r="E107" s="140">
        <v>8</v>
      </c>
      <c r="F107" s="140">
        <v>16</v>
      </c>
      <c r="G107" s="176">
        <v>800</v>
      </c>
      <c r="H107" s="176">
        <v>960</v>
      </c>
      <c r="I107" s="141">
        <f t="shared" si="2"/>
        <v>0.83333333333333337</v>
      </c>
      <c r="J107" s="139" t="s">
        <v>1079</v>
      </c>
      <c r="K107" s="139" t="s">
        <v>1085</v>
      </c>
      <c r="L107" s="136" t="s">
        <v>117</v>
      </c>
    </row>
    <row r="108" spans="1:12" ht="15" customHeight="1" outlineLevel="2">
      <c r="A108" s="137" t="s">
        <v>858</v>
      </c>
      <c r="B108" s="138">
        <v>20</v>
      </c>
      <c r="C108" s="139" t="s">
        <v>1158</v>
      </c>
      <c r="D108" s="136" t="s">
        <v>1128</v>
      </c>
      <c r="E108" s="140">
        <v>1</v>
      </c>
      <c r="F108" s="140">
        <v>38</v>
      </c>
      <c r="G108" s="176">
        <v>900</v>
      </c>
      <c r="H108" s="176">
        <v>960</v>
      </c>
      <c r="I108" s="141">
        <f t="shared" si="2"/>
        <v>0.9375</v>
      </c>
      <c r="J108" s="139" t="s">
        <v>1079</v>
      </c>
      <c r="K108" s="139" t="s">
        <v>1085</v>
      </c>
      <c r="L108" s="136" t="s">
        <v>117</v>
      </c>
    </row>
    <row r="109" spans="1:12" ht="15" customHeight="1" outlineLevel="2">
      <c r="A109" s="137" t="s">
        <v>858</v>
      </c>
      <c r="B109" s="138">
        <v>21</v>
      </c>
      <c r="C109" s="139" t="s">
        <v>1159</v>
      </c>
      <c r="D109" s="136" t="s">
        <v>1128</v>
      </c>
      <c r="E109" s="140">
        <v>1</v>
      </c>
      <c r="F109" s="140">
        <v>40</v>
      </c>
      <c r="G109" s="176">
        <v>900</v>
      </c>
      <c r="H109" s="176">
        <v>960</v>
      </c>
      <c r="I109" s="141">
        <f t="shared" si="2"/>
        <v>0.9375</v>
      </c>
      <c r="J109" s="139" t="s">
        <v>1079</v>
      </c>
      <c r="K109" s="139" t="s">
        <v>1085</v>
      </c>
      <c r="L109" s="136" t="s">
        <v>117</v>
      </c>
    </row>
    <row r="110" spans="1:12" ht="15" customHeight="1" outlineLevel="2">
      <c r="A110" s="137" t="s">
        <v>858</v>
      </c>
      <c r="B110" s="138">
        <v>22</v>
      </c>
      <c r="C110" s="139" t="s">
        <v>1160</v>
      </c>
      <c r="D110" s="136" t="s">
        <v>1128</v>
      </c>
      <c r="E110" s="140">
        <v>1</v>
      </c>
      <c r="F110" s="140">
        <v>39</v>
      </c>
      <c r="G110" s="176">
        <v>900</v>
      </c>
      <c r="H110" s="176">
        <v>960</v>
      </c>
      <c r="I110" s="141">
        <f t="shared" si="2"/>
        <v>0.9375</v>
      </c>
      <c r="J110" s="139" t="s">
        <v>1079</v>
      </c>
      <c r="K110" s="139" t="s">
        <v>1085</v>
      </c>
      <c r="L110" s="136" t="s">
        <v>117</v>
      </c>
    </row>
    <row r="111" spans="1:12" ht="15" customHeight="1" outlineLevel="2">
      <c r="A111" s="137" t="s">
        <v>858</v>
      </c>
      <c r="B111" s="138">
        <v>23</v>
      </c>
      <c r="C111" s="139" t="s">
        <v>1161</v>
      </c>
      <c r="D111" s="136" t="s">
        <v>1128</v>
      </c>
      <c r="E111" s="140">
        <v>1</v>
      </c>
      <c r="F111" s="140">
        <v>38</v>
      </c>
      <c r="G111" s="176">
        <v>900</v>
      </c>
      <c r="H111" s="176">
        <v>960</v>
      </c>
      <c r="I111" s="141">
        <f t="shared" si="2"/>
        <v>0.9375</v>
      </c>
      <c r="J111" s="139" t="s">
        <v>1079</v>
      </c>
      <c r="K111" s="139" t="s">
        <v>1085</v>
      </c>
      <c r="L111" s="136" t="s">
        <v>117</v>
      </c>
    </row>
    <row r="112" spans="1:12" ht="15" customHeight="1" outlineLevel="2">
      <c r="A112" s="137" t="s">
        <v>858</v>
      </c>
      <c r="B112" s="138">
        <v>24</v>
      </c>
      <c r="C112" s="139" t="s">
        <v>1162</v>
      </c>
      <c r="D112" s="136" t="s">
        <v>1128</v>
      </c>
      <c r="E112" s="140">
        <v>6</v>
      </c>
      <c r="F112" s="140">
        <v>36</v>
      </c>
      <c r="G112" s="176">
        <v>1698</v>
      </c>
      <c r="H112" s="176">
        <v>1920</v>
      </c>
      <c r="I112" s="141">
        <f t="shared" si="2"/>
        <v>0.88437500000000002</v>
      </c>
      <c r="J112" s="139" t="s">
        <v>1079</v>
      </c>
      <c r="K112" s="139" t="s">
        <v>1085</v>
      </c>
      <c r="L112" s="136" t="s">
        <v>117</v>
      </c>
    </row>
    <row r="113" spans="1:12" ht="15" customHeight="1" outlineLevel="2">
      <c r="A113" s="137" t="s">
        <v>858</v>
      </c>
      <c r="B113" s="138">
        <v>25</v>
      </c>
      <c r="C113" s="139" t="s">
        <v>1163</v>
      </c>
      <c r="D113" s="136" t="s">
        <v>1128</v>
      </c>
      <c r="E113" s="140">
        <v>1</v>
      </c>
      <c r="F113" s="140">
        <v>35</v>
      </c>
      <c r="G113" s="176">
        <v>900</v>
      </c>
      <c r="H113" s="176">
        <v>960</v>
      </c>
      <c r="I113" s="141">
        <f t="shared" si="2"/>
        <v>0.9375</v>
      </c>
      <c r="J113" s="139" t="s">
        <v>1079</v>
      </c>
      <c r="K113" s="139" t="s">
        <v>1085</v>
      </c>
      <c r="L113" s="136" t="s">
        <v>117</v>
      </c>
    </row>
    <row r="114" spans="1:12" ht="15" customHeight="1" outlineLevel="2">
      <c r="A114" s="137" t="s">
        <v>858</v>
      </c>
      <c r="B114" s="138">
        <v>26</v>
      </c>
      <c r="C114" s="139" t="s">
        <v>1164</v>
      </c>
      <c r="D114" s="136" t="s">
        <v>1128</v>
      </c>
      <c r="E114" s="140">
        <v>3</v>
      </c>
      <c r="F114" s="140">
        <v>14</v>
      </c>
      <c r="G114" s="176">
        <v>900</v>
      </c>
      <c r="H114" s="176">
        <v>960</v>
      </c>
      <c r="I114" s="141">
        <f t="shared" si="2"/>
        <v>0.9375</v>
      </c>
      <c r="J114" s="139" t="s">
        <v>1079</v>
      </c>
      <c r="K114" s="139" t="s">
        <v>1085</v>
      </c>
      <c r="L114" s="136" t="s">
        <v>117</v>
      </c>
    </row>
    <row r="115" spans="1:12" ht="15" customHeight="1" outlineLevel="2">
      <c r="A115" s="137" t="s">
        <v>858</v>
      </c>
      <c r="B115" s="138">
        <v>27</v>
      </c>
      <c r="C115" s="139" t="s">
        <v>1165</v>
      </c>
      <c r="D115" s="136" t="s">
        <v>1128</v>
      </c>
      <c r="E115" s="140">
        <v>8</v>
      </c>
      <c r="F115" s="140">
        <v>8</v>
      </c>
      <c r="G115" s="176">
        <v>571</v>
      </c>
      <c r="H115" s="176">
        <v>960</v>
      </c>
      <c r="I115" s="141">
        <f t="shared" si="2"/>
        <v>0.59479166666666672</v>
      </c>
      <c r="J115" s="139" t="s">
        <v>1079</v>
      </c>
      <c r="K115" s="139" t="s">
        <v>1085</v>
      </c>
      <c r="L115" s="136" t="s">
        <v>117</v>
      </c>
    </row>
    <row r="116" spans="1:12" ht="15" customHeight="1" outlineLevel="2">
      <c r="A116" s="137" t="s">
        <v>858</v>
      </c>
      <c r="B116" s="138">
        <v>28</v>
      </c>
      <c r="C116" s="139" t="s">
        <v>1166</v>
      </c>
      <c r="D116" s="136" t="s">
        <v>1128</v>
      </c>
      <c r="E116" s="140">
        <v>6</v>
      </c>
      <c r="F116" s="140">
        <v>5</v>
      </c>
      <c r="G116" s="176">
        <v>796</v>
      </c>
      <c r="H116" s="176">
        <v>960</v>
      </c>
      <c r="I116" s="141">
        <f t="shared" si="2"/>
        <v>0.82916666666666672</v>
      </c>
      <c r="J116" s="139" t="s">
        <v>1079</v>
      </c>
      <c r="K116" s="139" t="s">
        <v>1085</v>
      </c>
      <c r="L116" s="136" t="s">
        <v>117</v>
      </c>
    </row>
    <row r="117" spans="1:12" ht="15" customHeight="1" outlineLevel="2">
      <c r="A117" s="137" t="s">
        <v>858</v>
      </c>
      <c r="B117" s="138">
        <v>29</v>
      </c>
      <c r="C117" s="139" t="s">
        <v>1167</v>
      </c>
      <c r="D117" s="136" t="s">
        <v>1128</v>
      </c>
      <c r="E117" s="140">
        <v>1</v>
      </c>
      <c r="F117" s="140">
        <v>50</v>
      </c>
      <c r="G117" s="176">
        <v>1835</v>
      </c>
      <c r="H117" s="176">
        <v>1920</v>
      </c>
      <c r="I117" s="141">
        <f t="shared" si="2"/>
        <v>0.95572916666666663</v>
      </c>
      <c r="J117" s="139" t="s">
        <v>1079</v>
      </c>
      <c r="K117" s="139" t="s">
        <v>1085</v>
      </c>
      <c r="L117" s="136" t="s">
        <v>117</v>
      </c>
    </row>
    <row r="118" spans="1:12" ht="15" customHeight="1" outlineLevel="2">
      <c r="A118" s="137" t="s">
        <v>858</v>
      </c>
      <c r="B118" s="138">
        <v>30</v>
      </c>
      <c r="C118" s="139" t="s">
        <v>1168</v>
      </c>
      <c r="D118" s="136" t="s">
        <v>1128</v>
      </c>
      <c r="E118" s="140">
        <v>4</v>
      </c>
      <c r="F118" s="140">
        <v>3</v>
      </c>
      <c r="G118" s="176">
        <v>837</v>
      </c>
      <c r="H118" s="176">
        <v>960</v>
      </c>
      <c r="I118" s="141">
        <f t="shared" si="2"/>
        <v>0.87187499999999996</v>
      </c>
      <c r="J118" s="139" t="s">
        <v>1079</v>
      </c>
      <c r="K118" s="139" t="s">
        <v>1085</v>
      </c>
      <c r="L118" s="136" t="s">
        <v>117</v>
      </c>
    </row>
    <row r="119" spans="1:12" ht="15" customHeight="1" outlineLevel="2">
      <c r="A119" s="137" t="s">
        <v>858</v>
      </c>
      <c r="B119" s="138">
        <v>31</v>
      </c>
      <c r="C119" s="139" t="s">
        <v>1169</v>
      </c>
      <c r="D119" s="136" t="s">
        <v>1128</v>
      </c>
      <c r="E119" s="140">
        <v>1</v>
      </c>
      <c r="F119" s="140">
        <v>32</v>
      </c>
      <c r="G119" s="176">
        <v>900</v>
      </c>
      <c r="H119" s="176">
        <v>960</v>
      </c>
      <c r="I119" s="141">
        <f t="shared" si="2"/>
        <v>0.9375</v>
      </c>
      <c r="J119" s="139" t="s">
        <v>1079</v>
      </c>
      <c r="K119" s="139" t="s">
        <v>1085</v>
      </c>
      <c r="L119" s="136" t="s">
        <v>117</v>
      </c>
    </row>
    <row r="120" spans="1:12" ht="15" customHeight="1" outlineLevel="2">
      <c r="A120" s="137" t="s">
        <v>858</v>
      </c>
      <c r="B120" s="138">
        <v>51</v>
      </c>
      <c r="C120" s="139" t="s">
        <v>1170</v>
      </c>
      <c r="D120" s="136" t="s">
        <v>1128</v>
      </c>
      <c r="E120" s="140">
        <v>1</v>
      </c>
      <c r="F120" s="140">
        <v>0</v>
      </c>
      <c r="G120" s="176">
        <v>60</v>
      </c>
      <c r="H120" s="176">
        <v>480</v>
      </c>
      <c r="I120" s="141">
        <f t="shared" si="2"/>
        <v>0.125</v>
      </c>
      <c r="J120" s="139" t="s">
        <v>1079</v>
      </c>
      <c r="K120" s="139" t="s">
        <v>1085</v>
      </c>
      <c r="L120" s="136" t="s">
        <v>117</v>
      </c>
    </row>
    <row r="121" spans="1:12" ht="15" customHeight="1" outlineLevel="2">
      <c r="A121" s="137" t="s">
        <v>858</v>
      </c>
      <c r="B121" s="138">
        <v>52</v>
      </c>
      <c r="C121" s="139" t="s">
        <v>1171</v>
      </c>
      <c r="D121" s="136" t="s">
        <v>1128</v>
      </c>
      <c r="E121" s="140">
        <v>1</v>
      </c>
      <c r="F121" s="140">
        <v>0</v>
      </c>
      <c r="G121" s="176">
        <v>57</v>
      </c>
      <c r="H121" s="176">
        <v>480</v>
      </c>
      <c r="I121" s="141">
        <f t="shared" si="2"/>
        <v>0.11874999999999999</v>
      </c>
      <c r="J121" s="139" t="s">
        <v>1079</v>
      </c>
      <c r="K121" s="139" t="s">
        <v>1085</v>
      </c>
      <c r="L121" s="136" t="s">
        <v>117</v>
      </c>
    </row>
    <row r="122" spans="1:12" ht="15" customHeight="1" outlineLevel="2">
      <c r="A122" s="137" t="s">
        <v>858</v>
      </c>
      <c r="B122" s="138">
        <v>53</v>
      </c>
      <c r="C122" s="139" t="s">
        <v>1172</v>
      </c>
      <c r="D122" s="136" t="s">
        <v>1127</v>
      </c>
      <c r="E122" s="140">
        <v>43</v>
      </c>
      <c r="F122" s="140">
        <v>120</v>
      </c>
      <c r="G122" s="176">
        <v>6111</v>
      </c>
      <c r="H122" s="176">
        <v>13500</v>
      </c>
      <c r="I122" s="141">
        <f t="shared" si="2"/>
        <v>0.45266666666666666</v>
      </c>
      <c r="J122" s="139" t="s">
        <v>1079</v>
      </c>
      <c r="K122" s="139" t="s">
        <v>1085</v>
      </c>
      <c r="L122" s="136" t="s">
        <v>117</v>
      </c>
    </row>
    <row r="123" spans="1:12" ht="15" customHeight="1" outlineLevel="2">
      <c r="A123" s="137" t="s">
        <v>858</v>
      </c>
      <c r="B123" s="138">
        <v>54</v>
      </c>
      <c r="C123" s="139" t="s">
        <v>1173</v>
      </c>
      <c r="D123" s="136" t="s">
        <v>1127</v>
      </c>
      <c r="E123" s="140">
        <v>9</v>
      </c>
      <c r="F123" s="140">
        <v>110</v>
      </c>
      <c r="G123" s="176">
        <v>4595</v>
      </c>
      <c r="H123" s="176">
        <v>9000</v>
      </c>
      <c r="I123" s="141">
        <f t="shared" si="2"/>
        <v>0.51055555555555554</v>
      </c>
      <c r="J123" s="139" t="s">
        <v>1079</v>
      </c>
      <c r="K123" s="139" t="s">
        <v>1085</v>
      </c>
      <c r="L123" s="136" t="s">
        <v>117</v>
      </c>
    </row>
    <row r="124" spans="1:12" ht="15" customHeight="1" outlineLevel="2">
      <c r="A124" s="137" t="s">
        <v>858</v>
      </c>
      <c r="B124" s="138">
        <v>55</v>
      </c>
      <c r="C124" s="139" t="s">
        <v>1174</v>
      </c>
      <c r="D124" s="136" t="s">
        <v>1127</v>
      </c>
      <c r="E124" s="140">
        <v>18</v>
      </c>
      <c r="F124" s="140">
        <v>72</v>
      </c>
      <c r="G124" s="176">
        <v>4378</v>
      </c>
      <c r="H124" s="176">
        <v>9000</v>
      </c>
      <c r="I124" s="141">
        <f t="shared" si="2"/>
        <v>0.48644444444444446</v>
      </c>
      <c r="J124" s="139" t="s">
        <v>1079</v>
      </c>
      <c r="K124" s="139" t="s">
        <v>1085</v>
      </c>
      <c r="L124" s="136" t="s">
        <v>117</v>
      </c>
    </row>
    <row r="125" spans="1:12" ht="15" customHeight="1" outlineLevel="2">
      <c r="A125" s="137" t="s">
        <v>858</v>
      </c>
      <c r="B125" s="138">
        <v>56</v>
      </c>
      <c r="C125" s="139" t="s">
        <v>1175</v>
      </c>
      <c r="D125" s="136" t="s">
        <v>1129</v>
      </c>
      <c r="E125" s="140">
        <v>1</v>
      </c>
      <c r="F125" s="140">
        <v>15</v>
      </c>
      <c r="G125" s="176">
        <v>900</v>
      </c>
      <c r="H125" s="176">
        <v>960</v>
      </c>
      <c r="I125" s="141">
        <f t="shared" si="2"/>
        <v>0.9375</v>
      </c>
      <c r="J125" s="139" t="s">
        <v>1079</v>
      </c>
      <c r="K125" s="139" t="s">
        <v>1085</v>
      </c>
      <c r="L125" s="136" t="s">
        <v>117</v>
      </c>
    </row>
    <row r="126" spans="1:12" ht="15" customHeight="1" outlineLevel="2">
      <c r="A126" s="137" t="s">
        <v>858</v>
      </c>
      <c r="B126" s="138">
        <v>57</v>
      </c>
      <c r="C126" s="139" t="s">
        <v>1176</v>
      </c>
      <c r="D126" s="136" t="s">
        <v>1129</v>
      </c>
      <c r="E126" s="140">
        <v>9</v>
      </c>
      <c r="F126" s="140">
        <v>5</v>
      </c>
      <c r="G126" s="176">
        <v>900</v>
      </c>
      <c r="H126" s="176">
        <v>960</v>
      </c>
      <c r="I126" s="141">
        <f t="shared" si="2"/>
        <v>0.9375</v>
      </c>
      <c r="J126" s="139" t="s">
        <v>1079</v>
      </c>
      <c r="K126" s="139" t="s">
        <v>1085</v>
      </c>
      <c r="L126" s="136" t="s">
        <v>117</v>
      </c>
    </row>
    <row r="127" spans="1:12" ht="15" customHeight="1" outlineLevel="2">
      <c r="A127" s="137" t="s">
        <v>858</v>
      </c>
      <c r="B127" s="138">
        <v>58</v>
      </c>
      <c r="C127" s="139" t="s">
        <v>1177</v>
      </c>
      <c r="D127" s="136" t="s">
        <v>1129</v>
      </c>
      <c r="E127" s="140">
        <v>1</v>
      </c>
      <c r="F127" s="140">
        <v>40</v>
      </c>
      <c r="G127" s="176">
        <v>900</v>
      </c>
      <c r="H127" s="176">
        <v>960</v>
      </c>
      <c r="I127" s="141">
        <f t="shared" si="2"/>
        <v>0.9375</v>
      </c>
      <c r="J127" s="139" t="s">
        <v>1079</v>
      </c>
      <c r="K127" s="139" t="s">
        <v>1085</v>
      </c>
      <c r="L127" s="136" t="s">
        <v>117</v>
      </c>
    </row>
    <row r="128" spans="1:12" ht="15" customHeight="1" outlineLevel="2">
      <c r="A128" s="137" t="s">
        <v>858</v>
      </c>
      <c r="B128" s="138">
        <v>59</v>
      </c>
      <c r="C128" s="139" t="s">
        <v>1178</v>
      </c>
      <c r="D128" s="136" t="s">
        <v>1129</v>
      </c>
      <c r="E128" s="140">
        <v>1</v>
      </c>
      <c r="F128" s="140">
        <v>45</v>
      </c>
      <c r="G128" s="176">
        <v>900</v>
      </c>
      <c r="H128" s="176">
        <v>960</v>
      </c>
      <c r="I128" s="141">
        <f t="shared" si="2"/>
        <v>0.9375</v>
      </c>
      <c r="J128" s="139" t="s">
        <v>1079</v>
      </c>
      <c r="K128" s="139" t="s">
        <v>1085</v>
      </c>
      <c r="L128" s="136" t="s">
        <v>117</v>
      </c>
    </row>
    <row r="129" spans="1:12" ht="15" customHeight="1" outlineLevel="2">
      <c r="A129" s="137" t="s">
        <v>858</v>
      </c>
      <c r="B129" s="138">
        <v>60</v>
      </c>
      <c r="C129" s="139" t="s">
        <v>1179</v>
      </c>
      <c r="D129" s="136" t="s">
        <v>1180</v>
      </c>
      <c r="E129" s="140">
        <v>73</v>
      </c>
      <c r="F129" s="140">
        <v>699</v>
      </c>
      <c r="G129" s="176">
        <v>24762</v>
      </c>
      <c r="H129" s="176">
        <v>37734</v>
      </c>
      <c r="I129" s="141">
        <f t="shared" si="2"/>
        <v>0.6562251550325966</v>
      </c>
      <c r="J129" s="139" t="s">
        <v>1079</v>
      </c>
      <c r="K129" s="139" t="s">
        <v>1083</v>
      </c>
      <c r="L129" s="136" t="s">
        <v>117</v>
      </c>
    </row>
    <row r="130" spans="1:12" ht="15" customHeight="1" outlineLevel="2">
      <c r="A130" s="137" t="s">
        <v>858</v>
      </c>
      <c r="B130" s="138">
        <v>61</v>
      </c>
      <c r="C130" s="139" t="s">
        <v>1181</v>
      </c>
      <c r="D130" s="136" t="s">
        <v>1130</v>
      </c>
      <c r="E130" s="140">
        <v>8</v>
      </c>
      <c r="F130" s="140">
        <v>10</v>
      </c>
      <c r="G130" s="176">
        <v>1773</v>
      </c>
      <c r="H130" s="176">
        <v>2430</v>
      </c>
      <c r="I130" s="141">
        <f t="shared" si="2"/>
        <v>0.72962962962962963</v>
      </c>
      <c r="J130" s="139" t="s">
        <v>1079</v>
      </c>
      <c r="K130" s="139" t="s">
        <v>1102</v>
      </c>
      <c r="L130" s="136" t="s">
        <v>117</v>
      </c>
    </row>
    <row r="131" spans="1:12" ht="15" customHeight="1" outlineLevel="2">
      <c r="A131" s="137" t="s">
        <v>858</v>
      </c>
      <c r="B131" s="138">
        <v>62</v>
      </c>
      <c r="C131" s="139" t="s">
        <v>1182</v>
      </c>
      <c r="D131" s="136" t="s">
        <v>1137</v>
      </c>
      <c r="E131" s="140">
        <v>2</v>
      </c>
      <c r="F131" s="140">
        <v>0</v>
      </c>
      <c r="G131" s="176">
        <v>398</v>
      </c>
      <c r="H131" s="176">
        <v>485</v>
      </c>
      <c r="I131" s="141">
        <f t="shared" si="2"/>
        <v>0.8206185567010309</v>
      </c>
      <c r="J131" s="139" t="s">
        <v>1079</v>
      </c>
      <c r="K131" s="139" t="s">
        <v>1083</v>
      </c>
      <c r="L131" s="136" t="s">
        <v>117</v>
      </c>
    </row>
    <row r="132" spans="1:12" ht="15" customHeight="1" outlineLevel="2">
      <c r="A132" s="137" t="s">
        <v>858</v>
      </c>
      <c r="B132" s="138">
        <v>63</v>
      </c>
      <c r="C132" s="139" t="s">
        <v>1183</v>
      </c>
      <c r="D132" s="136" t="s">
        <v>1127</v>
      </c>
      <c r="E132" s="140">
        <v>1</v>
      </c>
      <c r="F132" s="140">
        <v>0</v>
      </c>
      <c r="G132" s="176">
        <v>95</v>
      </c>
      <c r="H132" s="176">
        <v>120</v>
      </c>
      <c r="I132" s="141">
        <f t="shared" si="2"/>
        <v>0.79166666666666663</v>
      </c>
      <c r="J132" s="139" t="s">
        <v>1079</v>
      </c>
      <c r="K132" s="139" t="s">
        <v>1083</v>
      </c>
      <c r="L132" s="136" t="s">
        <v>117</v>
      </c>
    </row>
    <row r="133" spans="1:12" ht="15" customHeight="1" outlineLevel="2">
      <c r="A133" s="137" t="s">
        <v>858</v>
      </c>
      <c r="B133" s="138">
        <v>64</v>
      </c>
      <c r="C133" s="139" t="s">
        <v>1184</v>
      </c>
      <c r="D133" s="136" t="s">
        <v>1127</v>
      </c>
      <c r="E133" s="140">
        <v>1</v>
      </c>
      <c r="F133" s="140">
        <v>0</v>
      </c>
      <c r="G133" s="176">
        <v>254</v>
      </c>
      <c r="H133" s="176">
        <v>296</v>
      </c>
      <c r="I133" s="141">
        <f t="shared" si="2"/>
        <v>0.85810810810810811</v>
      </c>
      <c r="J133" s="139" t="s">
        <v>1079</v>
      </c>
      <c r="K133" s="139" t="s">
        <v>1083</v>
      </c>
      <c r="L133" s="136" t="s">
        <v>117</v>
      </c>
    </row>
    <row r="134" spans="1:12" ht="15" customHeight="1" outlineLevel="2">
      <c r="A134" s="137" t="s">
        <v>858</v>
      </c>
      <c r="B134" s="138">
        <v>65</v>
      </c>
      <c r="C134" s="139" t="s">
        <v>1009</v>
      </c>
      <c r="D134" s="136" t="s">
        <v>1133</v>
      </c>
      <c r="E134" s="140">
        <v>1</v>
      </c>
      <c r="F134" s="140">
        <v>0</v>
      </c>
      <c r="G134" s="176">
        <v>172</v>
      </c>
      <c r="H134" s="176">
        <v>200</v>
      </c>
      <c r="I134" s="141">
        <f t="shared" si="2"/>
        <v>0.86</v>
      </c>
      <c r="J134" s="139" t="s">
        <v>1079</v>
      </c>
      <c r="K134" s="139" t="s">
        <v>1083</v>
      </c>
      <c r="L134" s="136" t="s">
        <v>117</v>
      </c>
    </row>
    <row r="135" spans="1:12" ht="15" customHeight="1" outlineLevel="2">
      <c r="A135" s="137" t="s">
        <v>858</v>
      </c>
      <c r="B135" s="138">
        <v>66</v>
      </c>
      <c r="C135" s="139" t="s">
        <v>1008</v>
      </c>
      <c r="D135" s="136" t="s">
        <v>1185</v>
      </c>
      <c r="E135" s="140">
        <v>12</v>
      </c>
      <c r="F135" s="140">
        <v>62</v>
      </c>
      <c r="G135" s="176">
        <v>2788</v>
      </c>
      <c r="H135" s="176">
        <v>24963</v>
      </c>
      <c r="I135" s="141">
        <f t="shared" si="2"/>
        <v>0.1116852942354685</v>
      </c>
      <c r="J135" s="139" t="s">
        <v>1186</v>
      </c>
      <c r="K135" s="139" t="s">
        <v>1083</v>
      </c>
      <c r="L135" s="136" t="s">
        <v>117</v>
      </c>
    </row>
    <row r="136" spans="1:12" ht="15" customHeight="1" outlineLevel="2">
      <c r="A136" s="137" t="s">
        <v>858</v>
      </c>
      <c r="B136" s="138">
        <v>67</v>
      </c>
      <c r="C136" s="139" t="s">
        <v>1010</v>
      </c>
      <c r="D136" s="136" t="s">
        <v>1187</v>
      </c>
      <c r="E136" s="140">
        <v>16</v>
      </c>
      <c r="F136" s="140">
        <v>46</v>
      </c>
      <c r="G136" s="176">
        <v>3381</v>
      </c>
      <c r="H136" s="176">
        <v>26208</v>
      </c>
      <c r="I136" s="141">
        <f t="shared" si="2"/>
        <v>0.12900641025641027</v>
      </c>
      <c r="J136" s="139" t="s">
        <v>1186</v>
      </c>
      <c r="K136" s="139" t="s">
        <v>1083</v>
      </c>
      <c r="L136" s="136" t="s">
        <v>117</v>
      </c>
    </row>
    <row r="137" spans="1:12" ht="15" customHeight="1" outlineLevel="2">
      <c r="A137" s="137" t="s">
        <v>858</v>
      </c>
      <c r="B137" s="138">
        <v>70</v>
      </c>
      <c r="C137" s="139" t="s">
        <v>1012</v>
      </c>
      <c r="D137" s="136" t="s">
        <v>1188</v>
      </c>
      <c r="E137" s="140">
        <v>2</v>
      </c>
      <c r="F137" s="140">
        <v>56</v>
      </c>
      <c r="G137" s="176">
        <v>2015</v>
      </c>
      <c r="H137" s="176">
        <v>2160</v>
      </c>
      <c r="I137" s="141">
        <f t="shared" si="2"/>
        <v>0.93287037037037035</v>
      </c>
    </row>
    <row r="138" spans="1:12" ht="15" customHeight="1" outlineLevel="2">
      <c r="A138" s="137" t="s">
        <v>858</v>
      </c>
      <c r="B138" s="138">
        <v>71</v>
      </c>
      <c r="C138" s="139" t="s">
        <v>1014</v>
      </c>
      <c r="D138" s="136" t="s">
        <v>1188</v>
      </c>
      <c r="E138" s="140">
        <v>2</v>
      </c>
      <c r="F138" s="140">
        <v>73</v>
      </c>
      <c r="G138" s="176">
        <v>2021</v>
      </c>
      <c r="H138" s="176">
        <v>2160</v>
      </c>
      <c r="I138" s="141">
        <f t="shared" si="2"/>
        <v>0.93564814814814812</v>
      </c>
    </row>
    <row r="139" spans="1:12" ht="15" customHeight="1" outlineLevel="2">
      <c r="A139" s="137" t="s">
        <v>858</v>
      </c>
      <c r="B139" s="138">
        <v>72</v>
      </c>
      <c r="C139" s="139" t="s">
        <v>1016</v>
      </c>
      <c r="D139" s="136" t="s">
        <v>1188</v>
      </c>
      <c r="E139" s="140">
        <v>5</v>
      </c>
      <c r="F139" s="140">
        <v>45</v>
      </c>
      <c r="G139" s="176">
        <v>1974</v>
      </c>
      <c r="H139" s="176">
        <v>2160</v>
      </c>
      <c r="I139" s="141">
        <f t="shared" si="2"/>
        <v>0.91388888888888886</v>
      </c>
    </row>
    <row r="140" spans="1:12" ht="15" customHeight="1" outlineLevel="2">
      <c r="A140" s="137" t="s">
        <v>858</v>
      </c>
      <c r="B140" s="138">
        <v>74</v>
      </c>
      <c r="C140" s="139" t="s">
        <v>1018</v>
      </c>
      <c r="D140" s="136" t="s">
        <v>1188</v>
      </c>
      <c r="E140" s="140">
        <v>2</v>
      </c>
      <c r="F140" s="140">
        <v>56</v>
      </c>
      <c r="G140" s="176">
        <v>2020</v>
      </c>
      <c r="H140" s="176">
        <v>2160</v>
      </c>
      <c r="I140" s="141">
        <f t="shared" si="2"/>
        <v>0.93518518518518523</v>
      </c>
    </row>
    <row r="141" spans="1:12" ht="15" customHeight="1" outlineLevel="2">
      <c r="A141" s="137" t="s">
        <v>858</v>
      </c>
      <c r="B141" s="138">
        <v>75</v>
      </c>
      <c r="C141" s="139" t="s">
        <v>1020</v>
      </c>
      <c r="D141" s="136" t="s">
        <v>1188</v>
      </c>
      <c r="E141" s="140">
        <v>1</v>
      </c>
      <c r="F141" s="140">
        <v>50</v>
      </c>
      <c r="G141" s="176">
        <v>3137</v>
      </c>
      <c r="H141" s="176">
        <v>3480</v>
      </c>
      <c r="I141" s="141">
        <f t="shared" si="2"/>
        <v>0.90143678160919538</v>
      </c>
    </row>
    <row r="142" spans="1:12" ht="15" customHeight="1" outlineLevel="2">
      <c r="A142" s="137" t="s">
        <v>858</v>
      </c>
      <c r="B142" s="138">
        <v>76</v>
      </c>
      <c r="C142" s="139" t="s">
        <v>1022</v>
      </c>
      <c r="D142" s="136" t="s">
        <v>1188</v>
      </c>
      <c r="E142" s="140">
        <v>1</v>
      </c>
      <c r="F142" s="140">
        <v>50</v>
      </c>
      <c r="G142" s="176">
        <v>3137</v>
      </c>
      <c r="H142" s="176">
        <v>3480</v>
      </c>
      <c r="I142" s="141">
        <f t="shared" si="2"/>
        <v>0.90143678160919538</v>
      </c>
    </row>
    <row r="143" spans="1:12" ht="15" customHeight="1" outlineLevel="2">
      <c r="A143" s="137" t="s">
        <v>858</v>
      </c>
      <c r="B143" s="138">
        <v>78</v>
      </c>
      <c r="C143" s="139" t="s">
        <v>1024</v>
      </c>
      <c r="D143" s="136" t="s">
        <v>1188</v>
      </c>
      <c r="E143" s="140">
        <v>1</v>
      </c>
      <c r="F143" s="140">
        <v>45</v>
      </c>
      <c r="G143" s="176">
        <v>2049</v>
      </c>
      <c r="H143" s="176">
        <v>2160</v>
      </c>
      <c r="I143" s="141">
        <f t="shared" si="2"/>
        <v>0.94861111111111107</v>
      </c>
      <c r="J143" s="139" t="s">
        <v>1079</v>
      </c>
      <c r="K143" s="139" t="s">
        <v>1102</v>
      </c>
      <c r="L143" s="136" t="s">
        <v>117</v>
      </c>
    </row>
    <row r="144" spans="1:12" ht="15" customHeight="1" outlineLevel="2">
      <c r="A144" s="137" t="s">
        <v>858</v>
      </c>
      <c r="B144" s="138">
        <v>79</v>
      </c>
      <c r="C144" s="139" t="s">
        <v>1026</v>
      </c>
      <c r="D144" s="136" t="s">
        <v>1188</v>
      </c>
      <c r="E144" s="140">
        <v>1</v>
      </c>
      <c r="F144" s="140">
        <v>45</v>
      </c>
      <c r="G144" s="176">
        <v>2049</v>
      </c>
      <c r="H144" s="176">
        <v>2160</v>
      </c>
      <c r="I144" s="141">
        <f t="shared" si="2"/>
        <v>0.94861111111111107</v>
      </c>
      <c r="J144" s="139" t="s">
        <v>1186</v>
      </c>
      <c r="K144" s="139" t="s">
        <v>1102</v>
      </c>
      <c r="L144" s="136" t="s">
        <v>117</v>
      </c>
    </row>
    <row r="145" spans="1:12" ht="15" customHeight="1" outlineLevel="2">
      <c r="A145" s="137" t="s">
        <v>858</v>
      </c>
      <c r="B145" s="138">
        <v>80</v>
      </c>
      <c r="C145" s="139" t="s">
        <v>1028</v>
      </c>
      <c r="D145" s="136" t="s">
        <v>1188</v>
      </c>
      <c r="E145" s="140">
        <v>1</v>
      </c>
      <c r="F145" s="140">
        <v>30</v>
      </c>
      <c r="G145" s="176">
        <v>1342</v>
      </c>
      <c r="H145" s="176">
        <v>1440</v>
      </c>
      <c r="I145" s="141">
        <f t="shared" si="2"/>
        <v>0.93194444444444446</v>
      </c>
      <c r="J145" s="139" t="s">
        <v>1186</v>
      </c>
      <c r="K145" s="139" t="s">
        <v>1102</v>
      </c>
      <c r="L145" s="136" t="s">
        <v>117</v>
      </c>
    </row>
    <row r="146" spans="1:12" ht="15" customHeight="1" outlineLevel="2">
      <c r="A146" s="137" t="s">
        <v>858</v>
      </c>
      <c r="B146" s="138">
        <v>82</v>
      </c>
      <c r="C146" s="139" t="s">
        <v>1030</v>
      </c>
      <c r="D146" s="136" t="s">
        <v>1188</v>
      </c>
      <c r="E146" s="140">
        <v>1</v>
      </c>
      <c r="F146" s="140">
        <v>30</v>
      </c>
      <c r="G146" s="176">
        <v>1342</v>
      </c>
      <c r="H146" s="176">
        <v>1440</v>
      </c>
      <c r="I146" s="141">
        <f t="shared" si="2"/>
        <v>0.93194444444444446</v>
      </c>
    </row>
    <row r="147" spans="1:12" ht="15" customHeight="1" outlineLevel="2">
      <c r="A147" s="137" t="s">
        <v>858</v>
      </c>
      <c r="B147" s="138">
        <v>83</v>
      </c>
      <c r="C147" s="139" t="s">
        <v>1032</v>
      </c>
      <c r="D147" s="136" t="s">
        <v>1188</v>
      </c>
      <c r="E147" s="140">
        <v>1</v>
      </c>
      <c r="F147" s="140">
        <v>30</v>
      </c>
      <c r="G147" s="176">
        <v>1342</v>
      </c>
      <c r="H147" s="176">
        <v>1440</v>
      </c>
      <c r="I147" s="141">
        <f t="shared" si="2"/>
        <v>0.93194444444444446</v>
      </c>
    </row>
    <row r="148" spans="1:12" ht="15" customHeight="1" outlineLevel="2">
      <c r="A148" s="137" t="s">
        <v>858</v>
      </c>
      <c r="B148" s="138">
        <v>84</v>
      </c>
      <c r="C148" s="139" t="s">
        <v>1034</v>
      </c>
      <c r="D148" s="136" t="s">
        <v>1188</v>
      </c>
      <c r="E148" s="140">
        <v>1</v>
      </c>
      <c r="F148" s="140">
        <v>30</v>
      </c>
      <c r="G148" s="176">
        <v>703</v>
      </c>
      <c r="H148" s="176">
        <v>2000</v>
      </c>
      <c r="I148" s="141">
        <f t="shared" si="2"/>
        <v>0.35149999999999998</v>
      </c>
    </row>
    <row r="149" spans="1:12" s="424" customFormat="1" ht="15" customHeight="1" outlineLevel="2">
      <c r="A149" s="417" t="s">
        <v>858</v>
      </c>
      <c r="B149" s="418">
        <v>85</v>
      </c>
      <c r="C149" s="419" t="s">
        <v>1036</v>
      </c>
      <c r="D149" s="420" t="s">
        <v>1135</v>
      </c>
      <c r="E149" s="421">
        <v>11</v>
      </c>
      <c r="F149" s="421">
        <v>13</v>
      </c>
      <c r="G149" s="422">
        <v>3026</v>
      </c>
      <c r="H149" s="422">
        <v>4000</v>
      </c>
      <c r="I149" s="423">
        <f t="shared" si="2"/>
        <v>0.75649999999999995</v>
      </c>
      <c r="J149" s="424" t="s">
        <v>1189</v>
      </c>
      <c r="K149" s="424" t="s">
        <v>1083</v>
      </c>
      <c r="L149" s="425" t="s">
        <v>117</v>
      </c>
    </row>
    <row r="150" spans="1:12" s="428" customFormat="1" ht="15" customHeight="1" outlineLevel="1">
      <c r="A150" s="191" t="s">
        <v>858</v>
      </c>
      <c r="B150" s="192"/>
      <c r="C150" s="193"/>
      <c r="D150" s="194"/>
      <c r="E150" s="195"/>
      <c r="F150" s="195"/>
      <c r="G150" s="196">
        <f>+SUBTOTAL(9,G90:G149)</f>
        <v>185854</v>
      </c>
      <c r="H150" s="196">
        <f>+SUBTOTAL(9,H90:H149)</f>
        <v>317315</v>
      </c>
      <c r="I150" s="197"/>
      <c r="J150" s="198"/>
      <c r="K150" s="198"/>
      <c r="L150" s="199"/>
    </row>
    <row r="151" spans="1:12" ht="15" customHeight="1" outlineLevel="2">
      <c r="A151" s="426" t="s">
        <v>859</v>
      </c>
      <c r="B151" s="138">
        <v>1</v>
      </c>
      <c r="C151" s="139" t="s">
        <v>866</v>
      </c>
      <c r="D151" s="136" t="s">
        <v>1137</v>
      </c>
      <c r="E151" s="140">
        <v>46</v>
      </c>
      <c r="F151" s="140">
        <v>89</v>
      </c>
      <c r="G151" s="176">
        <v>9276</v>
      </c>
      <c r="H151" s="176">
        <v>14357</v>
      </c>
      <c r="I151" s="423">
        <f t="shared" si="2"/>
        <v>0.6460959810545378</v>
      </c>
      <c r="J151" s="139" t="s">
        <v>1079</v>
      </c>
      <c r="K151" s="139" t="s">
        <v>1083</v>
      </c>
      <c r="L151" s="136" t="s">
        <v>117</v>
      </c>
    </row>
    <row r="152" spans="1:12" ht="15" customHeight="1" outlineLevel="2">
      <c r="A152" s="426" t="s">
        <v>859</v>
      </c>
      <c r="B152" s="138">
        <v>2</v>
      </c>
      <c r="C152" s="139" t="s">
        <v>870</v>
      </c>
      <c r="D152" s="136" t="s">
        <v>1137</v>
      </c>
      <c r="E152" s="140">
        <v>27</v>
      </c>
      <c r="F152" s="140">
        <v>149</v>
      </c>
      <c r="G152" s="176">
        <v>11157</v>
      </c>
      <c r="H152" s="176">
        <v>14588</v>
      </c>
      <c r="I152" s="423">
        <f t="shared" si="2"/>
        <v>0.76480669043049077</v>
      </c>
      <c r="J152" s="139" t="s">
        <v>1079</v>
      </c>
      <c r="K152" s="139" t="s">
        <v>1083</v>
      </c>
      <c r="L152" s="136" t="s">
        <v>117</v>
      </c>
    </row>
    <row r="153" spans="1:12" ht="15" customHeight="1" outlineLevel="2">
      <c r="A153" s="426" t="s">
        <v>859</v>
      </c>
      <c r="B153" s="138">
        <v>3</v>
      </c>
      <c r="C153" s="139" t="s">
        <v>874</v>
      </c>
      <c r="D153" s="136" t="s">
        <v>1137</v>
      </c>
      <c r="E153" s="140">
        <v>16</v>
      </c>
      <c r="F153" s="140">
        <v>320</v>
      </c>
      <c r="G153" s="176">
        <v>5054</v>
      </c>
      <c r="H153" s="176">
        <v>9277</v>
      </c>
      <c r="I153" s="423">
        <f t="shared" si="2"/>
        <v>0.54478818583593835</v>
      </c>
      <c r="J153" s="139" t="s">
        <v>1079</v>
      </c>
      <c r="K153" s="139" t="s">
        <v>1083</v>
      </c>
      <c r="L153" s="136" t="s">
        <v>117</v>
      </c>
    </row>
    <row r="154" spans="1:12" ht="15" customHeight="1" outlineLevel="2">
      <c r="A154" s="426" t="s">
        <v>859</v>
      </c>
      <c r="B154" s="138">
        <v>4</v>
      </c>
      <c r="C154" s="139" t="s">
        <v>878</v>
      </c>
      <c r="D154" s="136" t="s">
        <v>1137</v>
      </c>
      <c r="E154" s="140">
        <v>18</v>
      </c>
      <c r="F154" s="140">
        <v>309</v>
      </c>
      <c r="G154" s="176">
        <v>10496</v>
      </c>
      <c r="H154" s="176">
        <v>14496</v>
      </c>
      <c r="I154" s="423">
        <f t="shared" si="2"/>
        <v>0.72406181015452542</v>
      </c>
      <c r="J154" s="139" t="s">
        <v>1079</v>
      </c>
      <c r="K154" s="139" t="s">
        <v>1083</v>
      </c>
      <c r="L154" s="136" t="s">
        <v>117</v>
      </c>
    </row>
    <row r="155" spans="1:12" ht="15" customHeight="1" outlineLevel="2">
      <c r="A155" s="426" t="s">
        <v>859</v>
      </c>
      <c r="B155" s="138">
        <v>5</v>
      </c>
      <c r="C155" s="139" t="s">
        <v>882</v>
      </c>
      <c r="D155" s="136" t="s">
        <v>1137</v>
      </c>
      <c r="E155" s="140">
        <v>13</v>
      </c>
      <c r="F155" s="140">
        <v>27</v>
      </c>
      <c r="G155" s="176">
        <v>2067</v>
      </c>
      <c r="H155" s="176">
        <v>2785</v>
      </c>
      <c r="I155" s="423">
        <f t="shared" ref="I155:I200" si="3">+G155/H155</f>
        <v>0.74219030520646323</v>
      </c>
      <c r="J155" s="139" t="s">
        <v>1079</v>
      </c>
      <c r="K155" s="139" t="s">
        <v>1083</v>
      </c>
      <c r="L155" s="136" t="s">
        <v>117</v>
      </c>
    </row>
    <row r="156" spans="1:12" ht="15" customHeight="1" outlineLevel="2">
      <c r="A156" s="426" t="s">
        <v>859</v>
      </c>
      <c r="B156" s="138">
        <v>6</v>
      </c>
      <c r="C156" s="139" t="s">
        <v>886</v>
      </c>
      <c r="D156" s="136" t="s">
        <v>1137</v>
      </c>
      <c r="E156" s="140">
        <v>2</v>
      </c>
      <c r="F156" s="140">
        <v>0</v>
      </c>
      <c r="G156" s="176">
        <v>1444</v>
      </c>
      <c r="H156" s="176">
        <v>1518</v>
      </c>
      <c r="I156" s="423">
        <f t="shared" si="3"/>
        <v>0.9512516469038208</v>
      </c>
      <c r="J156" s="139" t="s">
        <v>1079</v>
      </c>
      <c r="K156" s="139" t="s">
        <v>1083</v>
      </c>
      <c r="L156" s="136" t="s">
        <v>117</v>
      </c>
    </row>
    <row r="157" spans="1:12" ht="15" customHeight="1" outlineLevel="2">
      <c r="A157" s="426" t="s">
        <v>859</v>
      </c>
      <c r="B157" s="138">
        <v>7</v>
      </c>
      <c r="C157" s="139" t="s">
        <v>890</v>
      </c>
      <c r="D157" s="136" t="s">
        <v>1137</v>
      </c>
      <c r="E157" s="140">
        <v>5</v>
      </c>
      <c r="F157" s="140">
        <v>0</v>
      </c>
      <c r="G157" s="176">
        <v>676</v>
      </c>
      <c r="H157" s="176">
        <v>996</v>
      </c>
      <c r="I157" s="423">
        <f t="shared" si="3"/>
        <v>0.67871485943775101</v>
      </c>
      <c r="J157" s="139" t="s">
        <v>1079</v>
      </c>
      <c r="K157" s="139" t="s">
        <v>1080</v>
      </c>
      <c r="L157" s="136" t="s">
        <v>117</v>
      </c>
    </row>
    <row r="158" spans="1:12" ht="15" customHeight="1" outlineLevel="2">
      <c r="A158" s="426" t="s">
        <v>859</v>
      </c>
      <c r="B158" s="138">
        <v>8</v>
      </c>
      <c r="C158" s="139" t="s">
        <v>894</v>
      </c>
      <c r="D158" s="136" t="s">
        <v>1137</v>
      </c>
      <c r="E158" s="140">
        <v>8</v>
      </c>
      <c r="F158" s="140">
        <v>1</v>
      </c>
      <c r="G158" s="176">
        <v>944</v>
      </c>
      <c r="H158" s="176">
        <v>1233</v>
      </c>
      <c r="I158" s="423">
        <f t="shared" si="3"/>
        <v>0.7656123276561233</v>
      </c>
      <c r="J158" s="139" t="s">
        <v>1079</v>
      </c>
      <c r="K158" s="139" t="s">
        <v>1080</v>
      </c>
      <c r="L158" s="136" t="s">
        <v>117</v>
      </c>
    </row>
    <row r="159" spans="1:12" ht="15" customHeight="1" outlineLevel="2">
      <c r="A159" s="426" t="s">
        <v>859</v>
      </c>
      <c r="B159" s="138">
        <v>9</v>
      </c>
      <c r="C159" s="139" t="s">
        <v>898</v>
      </c>
      <c r="D159" s="136" t="s">
        <v>1143</v>
      </c>
      <c r="E159" s="140">
        <v>54</v>
      </c>
      <c r="F159" s="140">
        <v>541</v>
      </c>
      <c r="G159" s="176">
        <v>19559</v>
      </c>
      <c r="H159" s="176">
        <v>30740</v>
      </c>
      <c r="I159" s="423">
        <f t="shared" si="3"/>
        <v>0.63627195836044237</v>
      </c>
      <c r="J159" s="139" t="s">
        <v>1079</v>
      </c>
      <c r="K159" s="139" t="s">
        <v>1083</v>
      </c>
      <c r="L159" s="136" t="s">
        <v>117</v>
      </c>
    </row>
    <row r="160" spans="1:12" ht="15" customHeight="1" outlineLevel="2">
      <c r="A160" s="426" t="s">
        <v>859</v>
      </c>
      <c r="B160" s="138">
        <v>10</v>
      </c>
      <c r="C160" s="139" t="s">
        <v>902</v>
      </c>
      <c r="D160" s="136" t="s">
        <v>1143</v>
      </c>
      <c r="E160" s="140">
        <v>38</v>
      </c>
      <c r="F160" s="140">
        <v>449</v>
      </c>
      <c r="G160" s="176">
        <v>13431</v>
      </c>
      <c r="H160" s="176">
        <v>20019</v>
      </c>
      <c r="I160" s="423">
        <f t="shared" si="3"/>
        <v>0.67091263299865123</v>
      </c>
      <c r="J160" s="139" t="s">
        <v>1079</v>
      </c>
      <c r="K160" s="139" t="s">
        <v>1083</v>
      </c>
      <c r="L160" s="136" t="s">
        <v>117</v>
      </c>
    </row>
    <row r="161" spans="1:12" ht="15" customHeight="1" outlineLevel="2">
      <c r="A161" s="426" t="s">
        <v>859</v>
      </c>
      <c r="B161" s="138">
        <v>11</v>
      </c>
      <c r="C161" s="139" t="s">
        <v>906</v>
      </c>
      <c r="D161" s="136" t="s">
        <v>1145</v>
      </c>
      <c r="E161" s="140">
        <v>2</v>
      </c>
      <c r="F161" s="140">
        <v>0</v>
      </c>
      <c r="G161" s="176">
        <v>1444</v>
      </c>
      <c r="H161" s="176">
        <v>1518</v>
      </c>
      <c r="I161" s="423">
        <f t="shared" si="3"/>
        <v>0.9512516469038208</v>
      </c>
      <c r="J161" s="139" t="s">
        <v>1079</v>
      </c>
      <c r="K161" s="139" t="s">
        <v>1083</v>
      </c>
      <c r="L161" s="136" t="s">
        <v>117</v>
      </c>
    </row>
    <row r="162" spans="1:12" ht="15" customHeight="1" outlineLevel="2">
      <c r="A162" s="426" t="s">
        <v>859</v>
      </c>
      <c r="B162" s="138">
        <v>12</v>
      </c>
      <c r="C162" s="139" t="s">
        <v>910</v>
      </c>
      <c r="D162" s="136" t="s">
        <v>1147</v>
      </c>
      <c r="E162" s="140">
        <v>4</v>
      </c>
      <c r="F162" s="140">
        <v>1</v>
      </c>
      <c r="G162" s="176">
        <v>3099</v>
      </c>
      <c r="H162" s="176">
        <v>3600</v>
      </c>
      <c r="I162" s="423">
        <f t="shared" si="3"/>
        <v>0.86083333333333334</v>
      </c>
      <c r="J162" s="139" t="s">
        <v>1079</v>
      </c>
      <c r="K162" s="139" t="s">
        <v>1083</v>
      </c>
      <c r="L162" s="136" t="s">
        <v>117</v>
      </c>
    </row>
    <row r="163" spans="1:12" ht="15" customHeight="1" outlineLevel="2">
      <c r="A163" s="426" t="s">
        <v>859</v>
      </c>
      <c r="B163" s="138">
        <v>13</v>
      </c>
      <c r="C163" s="139" t="s">
        <v>914</v>
      </c>
      <c r="D163" s="136" t="s">
        <v>1147</v>
      </c>
      <c r="E163" s="140">
        <v>11</v>
      </c>
      <c r="F163" s="140">
        <v>92</v>
      </c>
      <c r="G163" s="176">
        <v>4561</v>
      </c>
      <c r="H163" s="176">
        <v>5020</v>
      </c>
      <c r="I163" s="423">
        <f t="shared" si="3"/>
        <v>0.90856573705179278</v>
      </c>
      <c r="J163" s="139" t="s">
        <v>1079</v>
      </c>
      <c r="K163" s="139" t="s">
        <v>1083</v>
      </c>
      <c r="L163" s="136" t="s">
        <v>117</v>
      </c>
    </row>
    <row r="164" spans="1:12" ht="15" customHeight="1" outlineLevel="2">
      <c r="A164" s="426" t="s">
        <v>859</v>
      </c>
      <c r="B164" s="138">
        <v>14</v>
      </c>
      <c r="C164" s="139" t="s">
        <v>918</v>
      </c>
      <c r="D164" s="136" t="s">
        <v>1119</v>
      </c>
      <c r="E164" s="140">
        <v>13</v>
      </c>
      <c r="F164" s="140">
        <v>48</v>
      </c>
      <c r="G164" s="176">
        <v>2991</v>
      </c>
      <c r="H164" s="176">
        <v>3360</v>
      </c>
      <c r="I164" s="423">
        <f t="shared" si="3"/>
        <v>0.89017857142857137</v>
      </c>
      <c r="J164" s="139" t="s">
        <v>1079</v>
      </c>
      <c r="K164" s="139" t="s">
        <v>1085</v>
      </c>
      <c r="L164" s="136" t="s">
        <v>117</v>
      </c>
    </row>
    <row r="165" spans="1:12" ht="15" customHeight="1" outlineLevel="2">
      <c r="A165" s="426" t="s">
        <v>859</v>
      </c>
      <c r="B165" s="138">
        <v>15</v>
      </c>
      <c r="C165" s="139" t="s">
        <v>921</v>
      </c>
      <c r="D165" s="136" t="s">
        <v>1122</v>
      </c>
      <c r="E165" s="140">
        <v>19</v>
      </c>
      <c r="F165" s="140">
        <v>182</v>
      </c>
      <c r="G165" s="176">
        <v>5638</v>
      </c>
      <c r="H165" s="176">
        <v>8235</v>
      </c>
      <c r="I165" s="423">
        <f t="shared" si="3"/>
        <v>0.68463873709775347</v>
      </c>
      <c r="J165" s="139" t="s">
        <v>1079</v>
      </c>
      <c r="K165" s="139" t="s">
        <v>1102</v>
      </c>
      <c r="L165" s="136" t="s">
        <v>117</v>
      </c>
    </row>
    <row r="166" spans="1:12" ht="15" customHeight="1" outlineLevel="2">
      <c r="A166" s="426" t="s">
        <v>859</v>
      </c>
      <c r="B166" s="138">
        <v>17</v>
      </c>
      <c r="C166" s="139" t="s">
        <v>924</v>
      </c>
      <c r="D166" s="136" t="s">
        <v>1128</v>
      </c>
      <c r="E166" s="140">
        <v>10</v>
      </c>
      <c r="F166" s="140">
        <v>11</v>
      </c>
      <c r="G166" s="176">
        <v>889</v>
      </c>
      <c r="H166" s="176">
        <v>960</v>
      </c>
      <c r="I166" s="423">
        <f t="shared" si="3"/>
        <v>0.92604166666666665</v>
      </c>
      <c r="J166" s="139" t="s">
        <v>1079</v>
      </c>
      <c r="K166" s="139" t="s">
        <v>1085</v>
      </c>
      <c r="L166" s="136" t="s">
        <v>117</v>
      </c>
    </row>
    <row r="167" spans="1:12" ht="15" customHeight="1" outlineLevel="2">
      <c r="A167" s="426" t="s">
        <v>859</v>
      </c>
      <c r="B167" s="138">
        <v>18</v>
      </c>
      <c r="C167" s="139" t="s">
        <v>928</v>
      </c>
      <c r="D167" s="136" t="s">
        <v>1128</v>
      </c>
      <c r="E167" s="140">
        <v>9</v>
      </c>
      <c r="F167" s="140">
        <v>8</v>
      </c>
      <c r="G167" s="176">
        <v>810</v>
      </c>
      <c r="H167" s="176">
        <v>960</v>
      </c>
      <c r="I167" s="423">
        <f t="shared" si="3"/>
        <v>0.84375</v>
      </c>
      <c r="J167" s="139" t="s">
        <v>1079</v>
      </c>
      <c r="K167" s="139" t="s">
        <v>1085</v>
      </c>
      <c r="L167" s="136" t="s">
        <v>117</v>
      </c>
    </row>
    <row r="168" spans="1:12" ht="15" customHeight="1" outlineLevel="2">
      <c r="A168" s="426" t="s">
        <v>859</v>
      </c>
      <c r="B168" s="138">
        <v>19</v>
      </c>
      <c r="C168" s="139" t="s">
        <v>931</v>
      </c>
      <c r="D168" s="136" t="s">
        <v>1133</v>
      </c>
      <c r="E168" s="140">
        <v>7</v>
      </c>
      <c r="F168" s="140">
        <v>6</v>
      </c>
      <c r="G168" s="176">
        <v>685</v>
      </c>
      <c r="H168" s="176">
        <v>960</v>
      </c>
      <c r="I168" s="423">
        <f t="shared" si="3"/>
        <v>0.71354166666666663</v>
      </c>
      <c r="J168" s="139" t="s">
        <v>1079</v>
      </c>
      <c r="K168" s="139" t="s">
        <v>1085</v>
      </c>
      <c r="L168" s="136" t="s">
        <v>117</v>
      </c>
    </row>
    <row r="169" spans="1:12" ht="15" customHeight="1" outlineLevel="2">
      <c r="A169" s="426" t="s">
        <v>859</v>
      </c>
      <c r="B169" s="138">
        <v>20</v>
      </c>
      <c r="C169" s="139" t="s">
        <v>934</v>
      </c>
      <c r="D169" s="136" t="s">
        <v>1134</v>
      </c>
      <c r="E169" s="140">
        <v>69</v>
      </c>
      <c r="F169" s="140">
        <v>803</v>
      </c>
      <c r="G169" s="176">
        <v>29716</v>
      </c>
      <c r="H169" s="176">
        <v>44862</v>
      </c>
      <c r="I169" s="423">
        <f t="shared" si="3"/>
        <v>0.66238687530649543</v>
      </c>
      <c r="J169" s="139" t="s">
        <v>1079</v>
      </c>
      <c r="K169" s="139" t="s">
        <v>1083</v>
      </c>
      <c r="L169" s="136" t="s">
        <v>117</v>
      </c>
    </row>
    <row r="170" spans="1:12" ht="15" customHeight="1" outlineLevel="2">
      <c r="A170" s="426" t="s">
        <v>859</v>
      </c>
      <c r="B170" s="138">
        <v>21</v>
      </c>
      <c r="C170" s="139" t="s">
        <v>938</v>
      </c>
      <c r="D170" s="136" t="s">
        <v>1190</v>
      </c>
      <c r="E170" s="140">
        <v>3</v>
      </c>
      <c r="F170" s="140">
        <v>0</v>
      </c>
      <c r="G170" s="176">
        <v>525</v>
      </c>
      <c r="H170" s="176">
        <v>940</v>
      </c>
      <c r="I170" s="423">
        <f t="shared" si="3"/>
        <v>0.55851063829787229</v>
      </c>
      <c r="J170" s="139" t="s">
        <v>1079</v>
      </c>
      <c r="K170" s="139" t="s">
        <v>1080</v>
      </c>
      <c r="L170" s="136" t="s">
        <v>117</v>
      </c>
    </row>
    <row r="171" spans="1:12" ht="15" customHeight="1" outlineLevel="2">
      <c r="A171" s="426" t="s">
        <v>859</v>
      </c>
      <c r="B171" s="138">
        <v>22</v>
      </c>
      <c r="C171" s="139" t="s">
        <v>941</v>
      </c>
      <c r="D171" s="136" t="s">
        <v>1190</v>
      </c>
      <c r="E171" s="140">
        <v>3</v>
      </c>
      <c r="F171" s="140">
        <v>0</v>
      </c>
      <c r="G171" s="176">
        <v>681</v>
      </c>
      <c r="H171" s="176">
        <v>940</v>
      </c>
      <c r="I171" s="423">
        <f t="shared" si="3"/>
        <v>0.72446808510638294</v>
      </c>
      <c r="J171" s="139" t="s">
        <v>1079</v>
      </c>
      <c r="K171" s="139" t="s">
        <v>1080</v>
      </c>
      <c r="L171" s="136" t="s">
        <v>117</v>
      </c>
    </row>
    <row r="172" spans="1:12" ht="15" customHeight="1" outlineLevel="2">
      <c r="A172" s="426" t="s">
        <v>859</v>
      </c>
      <c r="B172" s="138">
        <v>23</v>
      </c>
      <c r="C172" s="139" t="s">
        <v>944</v>
      </c>
      <c r="D172" s="136" t="s">
        <v>1190</v>
      </c>
      <c r="E172" s="140">
        <v>39</v>
      </c>
      <c r="F172" s="140">
        <v>375</v>
      </c>
      <c r="G172" s="176">
        <v>14414</v>
      </c>
      <c r="H172" s="176">
        <v>25025</v>
      </c>
      <c r="I172" s="423">
        <f t="shared" si="3"/>
        <v>0.57598401598401594</v>
      </c>
      <c r="J172" s="139" t="s">
        <v>1079</v>
      </c>
      <c r="K172" s="139" t="s">
        <v>1102</v>
      </c>
      <c r="L172" s="136" t="s">
        <v>117</v>
      </c>
    </row>
    <row r="173" spans="1:12" ht="15" customHeight="1" outlineLevel="2">
      <c r="A173" s="426" t="s">
        <v>859</v>
      </c>
      <c r="B173" s="138">
        <v>24</v>
      </c>
      <c r="C173" s="139" t="s">
        <v>947</v>
      </c>
      <c r="D173" s="136" t="s">
        <v>1133</v>
      </c>
      <c r="E173" s="140">
        <v>1</v>
      </c>
      <c r="F173" s="140">
        <v>40</v>
      </c>
      <c r="G173" s="176">
        <v>1842</v>
      </c>
      <c r="H173" s="176">
        <v>1920</v>
      </c>
      <c r="I173" s="423">
        <f t="shared" si="3"/>
        <v>0.95937499999999998</v>
      </c>
      <c r="J173" s="139" t="s">
        <v>1079</v>
      </c>
      <c r="K173" s="139" t="s">
        <v>1085</v>
      </c>
      <c r="L173" s="136" t="s">
        <v>117</v>
      </c>
    </row>
    <row r="174" spans="1:12" ht="15" customHeight="1" outlineLevel="2">
      <c r="A174" s="426" t="s">
        <v>859</v>
      </c>
      <c r="B174" s="138">
        <v>25</v>
      </c>
      <c r="C174" s="139" t="s">
        <v>950</v>
      </c>
      <c r="D174" s="136" t="s">
        <v>1180</v>
      </c>
      <c r="E174" s="140">
        <v>26</v>
      </c>
      <c r="F174" s="140">
        <v>47</v>
      </c>
      <c r="G174" s="176">
        <v>12460</v>
      </c>
      <c r="H174" s="176">
        <v>15468</v>
      </c>
      <c r="I174" s="423">
        <f t="shared" si="3"/>
        <v>0.80553400568916478</v>
      </c>
      <c r="J174" s="139" t="s">
        <v>1079</v>
      </c>
      <c r="K174" s="139" t="s">
        <v>1102</v>
      </c>
      <c r="L174" s="136" t="s">
        <v>117</v>
      </c>
    </row>
    <row r="175" spans="1:12" ht="15" customHeight="1" outlineLevel="2">
      <c r="A175" s="426" t="s">
        <v>859</v>
      </c>
      <c r="B175" s="138">
        <v>26</v>
      </c>
      <c r="C175" s="139" t="s">
        <v>953</v>
      </c>
      <c r="D175" s="136" t="s">
        <v>1122</v>
      </c>
      <c r="E175" s="140">
        <v>7</v>
      </c>
      <c r="F175" s="140">
        <v>87</v>
      </c>
      <c r="G175" s="176">
        <v>2607</v>
      </c>
      <c r="H175" s="176">
        <v>2880</v>
      </c>
      <c r="I175" s="423">
        <f t="shared" si="3"/>
        <v>0.90520833333333328</v>
      </c>
      <c r="J175" s="139" t="s">
        <v>1079</v>
      </c>
      <c r="K175" s="139" t="s">
        <v>1102</v>
      </c>
      <c r="L175" s="136" t="s">
        <v>117</v>
      </c>
    </row>
    <row r="176" spans="1:12" ht="15" customHeight="1" outlineLevel="2">
      <c r="A176" s="426" t="s">
        <v>859</v>
      </c>
      <c r="B176" s="138">
        <v>27</v>
      </c>
      <c r="C176" s="139" t="s">
        <v>956</v>
      </c>
      <c r="D176" s="136" t="s">
        <v>1122</v>
      </c>
      <c r="E176" s="140">
        <v>1</v>
      </c>
      <c r="F176" s="140">
        <v>100</v>
      </c>
      <c r="G176" s="176">
        <v>1816</v>
      </c>
      <c r="H176" s="176">
        <v>1920</v>
      </c>
      <c r="I176" s="423">
        <f t="shared" si="3"/>
        <v>0.9458333333333333</v>
      </c>
      <c r="J176" s="139" t="s">
        <v>1079</v>
      </c>
      <c r="K176" s="139" t="s">
        <v>1102</v>
      </c>
      <c r="L176" s="136" t="s">
        <v>117</v>
      </c>
    </row>
    <row r="177" spans="1:12" ht="15" customHeight="1" outlineLevel="2">
      <c r="A177" s="426" t="s">
        <v>859</v>
      </c>
      <c r="B177" s="138">
        <v>28</v>
      </c>
      <c r="C177" s="139" t="s">
        <v>959</v>
      </c>
      <c r="D177" s="136" t="s">
        <v>1133</v>
      </c>
      <c r="E177" s="140">
        <v>1</v>
      </c>
      <c r="F177" s="140">
        <v>45</v>
      </c>
      <c r="G177" s="176">
        <v>900</v>
      </c>
      <c r="H177" s="176">
        <v>960</v>
      </c>
      <c r="I177" s="423">
        <f t="shared" si="3"/>
        <v>0.9375</v>
      </c>
      <c r="J177" s="139" t="s">
        <v>1079</v>
      </c>
      <c r="K177" s="139" t="s">
        <v>1085</v>
      </c>
      <c r="L177" s="136" t="s">
        <v>117</v>
      </c>
    </row>
    <row r="178" spans="1:12" ht="15" customHeight="1" outlineLevel="2">
      <c r="A178" s="426" t="s">
        <v>859</v>
      </c>
      <c r="B178" s="138">
        <v>29</v>
      </c>
      <c r="C178" s="139" t="s">
        <v>962</v>
      </c>
      <c r="D178" s="136" t="s">
        <v>1133</v>
      </c>
      <c r="E178" s="140">
        <v>1</v>
      </c>
      <c r="F178" s="140">
        <v>45</v>
      </c>
      <c r="G178" s="176">
        <v>900</v>
      </c>
      <c r="H178" s="176">
        <v>960</v>
      </c>
      <c r="I178" s="423">
        <f t="shared" si="3"/>
        <v>0.9375</v>
      </c>
      <c r="J178" s="139" t="s">
        <v>1079</v>
      </c>
      <c r="K178" s="139" t="s">
        <v>1085</v>
      </c>
      <c r="L178" s="136" t="s">
        <v>117</v>
      </c>
    </row>
    <row r="179" spans="1:12" ht="15" customHeight="1" outlineLevel="2">
      <c r="A179" s="426" t="s">
        <v>859</v>
      </c>
      <c r="B179" s="138">
        <v>30</v>
      </c>
      <c r="C179" s="139" t="s">
        <v>965</v>
      </c>
      <c r="D179" s="136" t="s">
        <v>1133</v>
      </c>
      <c r="E179" s="140">
        <v>1</v>
      </c>
      <c r="F179" s="140">
        <v>45</v>
      </c>
      <c r="G179" s="176">
        <v>900</v>
      </c>
      <c r="H179" s="176">
        <v>960</v>
      </c>
      <c r="I179" s="423">
        <f t="shared" si="3"/>
        <v>0.9375</v>
      </c>
      <c r="J179" s="139" t="s">
        <v>1079</v>
      </c>
      <c r="K179" s="139" t="s">
        <v>1085</v>
      </c>
      <c r="L179" s="136" t="s">
        <v>117</v>
      </c>
    </row>
    <row r="180" spans="1:12" ht="15" customHeight="1" outlineLevel="2">
      <c r="A180" s="426" t="s">
        <v>859</v>
      </c>
      <c r="B180" s="138">
        <v>31</v>
      </c>
      <c r="C180" s="139" t="s">
        <v>968</v>
      </c>
      <c r="D180" s="136" t="s">
        <v>1133</v>
      </c>
      <c r="E180" s="140">
        <v>2</v>
      </c>
      <c r="F180" s="140">
        <v>95</v>
      </c>
      <c r="G180" s="176">
        <v>1814</v>
      </c>
      <c r="H180" s="176">
        <v>1920</v>
      </c>
      <c r="I180" s="423">
        <f t="shared" si="3"/>
        <v>0.9447916666666667</v>
      </c>
      <c r="J180" s="139" t="s">
        <v>1079</v>
      </c>
      <c r="K180" s="139" t="s">
        <v>1085</v>
      </c>
      <c r="L180" s="136" t="s">
        <v>117</v>
      </c>
    </row>
    <row r="181" spans="1:12" ht="15" customHeight="1" outlineLevel="2">
      <c r="A181" s="426" t="s">
        <v>859</v>
      </c>
      <c r="B181" s="138">
        <v>32</v>
      </c>
      <c r="C181" s="139" t="s">
        <v>971</v>
      </c>
      <c r="D181" s="136" t="s">
        <v>1133</v>
      </c>
      <c r="E181" s="140">
        <v>1</v>
      </c>
      <c r="F181" s="140">
        <v>90</v>
      </c>
      <c r="G181" s="176">
        <v>1844</v>
      </c>
      <c r="H181" s="176">
        <v>1920</v>
      </c>
      <c r="I181" s="423">
        <f t="shared" si="3"/>
        <v>0.9604166666666667</v>
      </c>
      <c r="J181" s="139" t="s">
        <v>1079</v>
      </c>
      <c r="K181" s="139" t="s">
        <v>1085</v>
      </c>
      <c r="L181" s="136" t="s">
        <v>117</v>
      </c>
    </row>
    <row r="182" spans="1:12" ht="15" customHeight="1" outlineLevel="2">
      <c r="A182" s="426" t="s">
        <v>859</v>
      </c>
      <c r="B182" s="138">
        <v>33</v>
      </c>
      <c r="C182" s="139" t="s">
        <v>974</v>
      </c>
      <c r="D182" s="136" t="s">
        <v>1124</v>
      </c>
      <c r="E182" s="140">
        <v>1</v>
      </c>
      <c r="F182" s="140">
        <v>0</v>
      </c>
      <c r="G182" s="176">
        <v>180</v>
      </c>
      <c r="H182" s="176">
        <v>198</v>
      </c>
      <c r="I182" s="423">
        <f t="shared" si="3"/>
        <v>0.90909090909090906</v>
      </c>
      <c r="J182" s="139" t="s">
        <v>1079</v>
      </c>
      <c r="K182" s="139" t="s">
        <v>1085</v>
      </c>
      <c r="L182" s="136" t="s">
        <v>117</v>
      </c>
    </row>
    <row r="183" spans="1:12" ht="15" customHeight="1" outlineLevel="2">
      <c r="A183" s="426" t="s">
        <v>859</v>
      </c>
      <c r="B183" s="138">
        <v>34</v>
      </c>
      <c r="C183" s="139" t="s">
        <v>977</v>
      </c>
      <c r="D183" s="136" t="s">
        <v>1191</v>
      </c>
      <c r="E183" s="140">
        <v>1</v>
      </c>
      <c r="F183" s="140">
        <v>0</v>
      </c>
      <c r="G183" s="176">
        <v>98</v>
      </c>
      <c r="H183" s="176">
        <v>100</v>
      </c>
      <c r="I183" s="423">
        <f t="shared" si="3"/>
        <v>0.98</v>
      </c>
      <c r="J183" s="139" t="s">
        <v>1079</v>
      </c>
      <c r="K183" s="139" t="s">
        <v>1085</v>
      </c>
      <c r="L183" s="136" t="s">
        <v>117</v>
      </c>
    </row>
    <row r="184" spans="1:12" ht="15" customHeight="1" outlineLevel="2">
      <c r="A184" s="426" t="s">
        <v>859</v>
      </c>
      <c r="B184" s="138">
        <v>35</v>
      </c>
      <c r="C184" s="139" t="s">
        <v>980</v>
      </c>
      <c r="D184" s="136" t="s">
        <v>1133</v>
      </c>
      <c r="E184" s="140">
        <v>2</v>
      </c>
      <c r="F184" s="140">
        <v>0</v>
      </c>
      <c r="G184" s="176">
        <v>332</v>
      </c>
      <c r="H184" s="176">
        <v>415</v>
      </c>
      <c r="I184" s="423">
        <f t="shared" si="3"/>
        <v>0.8</v>
      </c>
      <c r="J184" s="139" t="s">
        <v>1079</v>
      </c>
      <c r="K184" s="139" t="s">
        <v>1085</v>
      </c>
      <c r="L184" s="136" t="s">
        <v>117</v>
      </c>
    </row>
    <row r="185" spans="1:12" ht="15" customHeight="1" outlineLevel="2">
      <c r="A185" s="426" t="s">
        <v>859</v>
      </c>
      <c r="B185" s="138">
        <v>36</v>
      </c>
      <c r="C185" s="139" t="s">
        <v>983</v>
      </c>
      <c r="D185" s="136" t="s">
        <v>1180</v>
      </c>
      <c r="E185" s="140">
        <v>1</v>
      </c>
      <c r="F185" s="140">
        <v>0</v>
      </c>
      <c r="G185" s="176">
        <v>620</v>
      </c>
      <c r="H185" s="176">
        <v>840</v>
      </c>
      <c r="I185" s="423">
        <f t="shared" si="3"/>
        <v>0.73809523809523814</v>
      </c>
      <c r="J185" s="139" t="s">
        <v>1079</v>
      </c>
      <c r="K185" s="139" t="s">
        <v>1083</v>
      </c>
      <c r="L185" s="136" t="s">
        <v>117</v>
      </c>
    </row>
    <row r="186" spans="1:12" ht="15" customHeight="1" outlineLevel="2">
      <c r="A186" s="426" t="s">
        <v>859</v>
      </c>
      <c r="B186" s="138">
        <v>37</v>
      </c>
      <c r="C186" s="139" t="s">
        <v>986</v>
      </c>
      <c r="D186" s="136" t="s">
        <v>1119</v>
      </c>
      <c r="E186" s="140">
        <v>1</v>
      </c>
      <c r="F186" s="140">
        <v>0</v>
      </c>
      <c r="G186" s="176">
        <v>234</v>
      </c>
      <c r="H186" s="176">
        <v>270</v>
      </c>
      <c r="I186" s="423">
        <f t="shared" si="3"/>
        <v>0.8666666666666667</v>
      </c>
      <c r="J186" s="139" t="s">
        <v>1079</v>
      </c>
      <c r="K186" s="139" t="s">
        <v>1080</v>
      </c>
      <c r="L186" s="136" t="s">
        <v>117</v>
      </c>
    </row>
    <row r="187" spans="1:12" ht="15" customHeight="1" outlineLevel="2">
      <c r="A187" s="426" t="s">
        <v>859</v>
      </c>
      <c r="B187" s="138">
        <v>38</v>
      </c>
      <c r="C187" s="139" t="s">
        <v>989</v>
      </c>
      <c r="D187" s="136" t="s">
        <v>1133</v>
      </c>
      <c r="E187" s="140">
        <v>2</v>
      </c>
      <c r="F187" s="140">
        <v>0</v>
      </c>
      <c r="G187" s="176">
        <v>114</v>
      </c>
      <c r="H187" s="176">
        <v>480</v>
      </c>
      <c r="I187" s="423">
        <f t="shared" si="3"/>
        <v>0.23749999999999999</v>
      </c>
      <c r="J187" s="139" t="s">
        <v>1079</v>
      </c>
      <c r="K187" s="139" t="s">
        <v>1085</v>
      </c>
      <c r="L187" s="136" t="s">
        <v>117</v>
      </c>
    </row>
    <row r="188" spans="1:12" ht="21" customHeight="1" outlineLevel="2">
      <c r="A188" s="427" t="s">
        <v>859</v>
      </c>
      <c r="B188" s="138">
        <v>39</v>
      </c>
      <c r="C188" s="139" t="s">
        <v>992</v>
      </c>
      <c r="D188" s="136" t="s">
        <v>1188</v>
      </c>
      <c r="E188" s="140">
        <v>11</v>
      </c>
      <c r="F188" s="140">
        <v>79</v>
      </c>
      <c r="G188" s="176">
        <v>2702</v>
      </c>
      <c r="H188" s="176">
        <v>3534</v>
      </c>
      <c r="I188" s="423">
        <f t="shared" si="3"/>
        <v>0.76457272212790039</v>
      </c>
      <c r="J188" s="139" t="s">
        <v>1186</v>
      </c>
      <c r="K188" s="139" t="s">
        <v>1083</v>
      </c>
      <c r="L188" s="136" t="s">
        <v>117</v>
      </c>
    </row>
    <row r="189" spans="1:12" ht="15" customHeight="1" outlineLevel="1">
      <c r="A189" s="200" t="s">
        <v>1192</v>
      </c>
      <c r="B189" s="201"/>
      <c r="C189" s="202"/>
      <c r="D189" s="203"/>
      <c r="E189" s="204"/>
      <c r="F189" s="204"/>
      <c r="G189" s="205">
        <f>SUBTOTAL(9,G151:G188)</f>
        <v>168920</v>
      </c>
      <c r="H189" s="205">
        <f>SUBTOTAL(9,H151:H188)</f>
        <v>241134</v>
      </c>
      <c r="I189" s="202"/>
      <c r="J189" s="202"/>
      <c r="K189" s="202"/>
      <c r="L189" s="203"/>
    </row>
    <row r="190" spans="1:12" ht="15" customHeight="1" outlineLevel="2">
      <c r="A190" s="177" t="s">
        <v>860</v>
      </c>
      <c r="B190" s="178">
        <v>9</v>
      </c>
      <c r="C190" s="179" t="s">
        <v>1193</v>
      </c>
      <c r="D190" s="180" t="s">
        <v>1185</v>
      </c>
      <c r="E190" s="181">
        <v>4</v>
      </c>
      <c r="F190" s="181">
        <v>0</v>
      </c>
      <c r="G190" s="182">
        <v>705</v>
      </c>
      <c r="H190" s="182">
        <v>864</v>
      </c>
      <c r="I190" s="423">
        <f t="shared" si="3"/>
        <v>0.81597222222222221</v>
      </c>
      <c r="J190" s="179" t="s">
        <v>1079</v>
      </c>
      <c r="K190" s="179"/>
      <c r="L190" s="180" t="s">
        <v>117</v>
      </c>
    </row>
    <row r="191" spans="1:12" ht="15" customHeight="1" outlineLevel="2">
      <c r="A191" s="137" t="s">
        <v>860</v>
      </c>
      <c r="B191" s="138">
        <v>11</v>
      </c>
      <c r="C191" s="139" t="s">
        <v>875</v>
      </c>
      <c r="D191" s="136" t="s">
        <v>1094</v>
      </c>
      <c r="E191" s="140">
        <v>21</v>
      </c>
      <c r="F191" s="140">
        <v>11</v>
      </c>
      <c r="G191" s="176">
        <v>4830</v>
      </c>
      <c r="H191" s="176">
        <v>7100</v>
      </c>
      <c r="I191" s="423">
        <f t="shared" si="3"/>
        <v>0.68028169014084505</v>
      </c>
      <c r="J191" s="139" t="s">
        <v>1079</v>
      </c>
      <c r="K191" s="139"/>
      <c r="L191" s="136" t="s">
        <v>122</v>
      </c>
    </row>
    <row r="192" spans="1:12" ht="15" customHeight="1" outlineLevel="2">
      <c r="A192" s="137" t="s">
        <v>860</v>
      </c>
      <c r="B192" s="138">
        <v>25</v>
      </c>
      <c r="C192" s="139" t="s">
        <v>1194</v>
      </c>
      <c r="D192" s="136" t="s">
        <v>1195</v>
      </c>
      <c r="E192" s="140">
        <v>3</v>
      </c>
      <c r="F192" s="140">
        <v>1</v>
      </c>
      <c r="G192" s="176">
        <v>3408</v>
      </c>
      <c r="H192" s="176">
        <v>3645</v>
      </c>
      <c r="I192" s="423">
        <f t="shared" si="3"/>
        <v>0.93497942386831279</v>
      </c>
      <c r="J192" s="139" t="s">
        <v>1079</v>
      </c>
      <c r="K192" s="139"/>
      <c r="L192" s="136" t="s">
        <v>117</v>
      </c>
    </row>
    <row r="193" spans="1:12" ht="15" customHeight="1" outlineLevel="2">
      <c r="A193" s="137" t="s">
        <v>860</v>
      </c>
      <c r="B193" s="138">
        <v>40</v>
      </c>
      <c r="C193" s="139" t="s">
        <v>883</v>
      </c>
      <c r="D193" s="136" t="s">
        <v>1122</v>
      </c>
      <c r="E193" s="140">
        <v>3</v>
      </c>
      <c r="F193" s="140">
        <v>1</v>
      </c>
      <c r="G193" s="176">
        <v>423</v>
      </c>
      <c r="H193" s="176">
        <v>480</v>
      </c>
      <c r="I193" s="423">
        <f t="shared" si="3"/>
        <v>0.88124999999999998</v>
      </c>
      <c r="J193" s="139" t="s">
        <v>1079</v>
      </c>
      <c r="K193" s="139"/>
      <c r="L193" s="136" t="s">
        <v>122</v>
      </c>
    </row>
    <row r="194" spans="1:12" ht="15" customHeight="1" outlineLevel="2">
      <c r="A194" s="137" t="s">
        <v>860</v>
      </c>
      <c r="B194" s="138">
        <v>130</v>
      </c>
      <c r="C194" s="139" t="s">
        <v>887</v>
      </c>
      <c r="D194" s="136" t="s">
        <v>1196</v>
      </c>
      <c r="E194" s="140">
        <v>5</v>
      </c>
      <c r="F194" s="140">
        <v>0</v>
      </c>
      <c r="G194" s="176">
        <v>0</v>
      </c>
      <c r="H194" s="176">
        <v>2027</v>
      </c>
      <c r="I194" s="423">
        <f t="shared" si="3"/>
        <v>0</v>
      </c>
      <c r="J194" s="139" t="s">
        <v>1079</v>
      </c>
      <c r="K194" s="139"/>
      <c r="L194" s="136" t="s">
        <v>122</v>
      </c>
    </row>
    <row r="195" spans="1:12" ht="15" customHeight="1" outlineLevel="2">
      <c r="A195" s="177" t="s">
        <v>860</v>
      </c>
      <c r="B195" s="178">
        <v>131</v>
      </c>
      <c r="C195" s="179" t="s">
        <v>891</v>
      </c>
      <c r="D195" s="180" t="s">
        <v>1099</v>
      </c>
      <c r="E195" s="181">
        <v>10</v>
      </c>
      <c r="F195" s="181">
        <v>0</v>
      </c>
      <c r="G195" s="182">
        <v>0</v>
      </c>
      <c r="H195" s="182">
        <v>3864</v>
      </c>
      <c r="I195" s="423">
        <f t="shared" si="3"/>
        <v>0</v>
      </c>
      <c r="J195" s="179" t="s">
        <v>1079</v>
      </c>
      <c r="K195" s="179"/>
      <c r="L195" s="180" t="s">
        <v>117</v>
      </c>
    </row>
    <row r="196" spans="1:12" ht="15" customHeight="1" outlineLevel="2">
      <c r="A196" s="177" t="s">
        <v>860</v>
      </c>
      <c r="B196" s="178">
        <v>132</v>
      </c>
      <c r="C196" s="179" t="s">
        <v>1197</v>
      </c>
      <c r="D196" s="180" t="s">
        <v>1198</v>
      </c>
      <c r="E196" s="181">
        <v>25</v>
      </c>
      <c r="F196" s="181">
        <v>28</v>
      </c>
      <c r="G196" s="182">
        <v>3115</v>
      </c>
      <c r="H196" s="182">
        <v>3132</v>
      </c>
      <c r="I196" s="423">
        <f t="shared" si="3"/>
        <v>0.9945721583652618</v>
      </c>
      <c r="J196" s="179" t="s">
        <v>1079</v>
      </c>
      <c r="K196" s="179"/>
      <c r="L196" s="180" t="s">
        <v>117</v>
      </c>
    </row>
    <row r="197" spans="1:12" ht="15" customHeight="1" outlineLevel="2">
      <c r="A197" s="137" t="s">
        <v>860</v>
      </c>
      <c r="B197" s="138">
        <v>137</v>
      </c>
      <c r="C197" s="139" t="s">
        <v>1199</v>
      </c>
      <c r="D197" s="136" t="s">
        <v>1130</v>
      </c>
      <c r="E197" s="140">
        <v>82</v>
      </c>
      <c r="F197" s="140">
        <v>271</v>
      </c>
      <c r="G197" s="176">
        <v>27971</v>
      </c>
      <c r="H197" s="176">
        <v>41258</v>
      </c>
      <c r="I197" s="423">
        <f t="shared" si="3"/>
        <v>0.6779533666198071</v>
      </c>
      <c r="J197" s="139" t="s">
        <v>1079</v>
      </c>
      <c r="K197" s="139"/>
      <c r="L197" s="136" t="s">
        <v>117</v>
      </c>
    </row>
    <row r="198" spans="1:12" ht="15" customHeight="1" outlineLevel="2">
      <c r="A198" s="137" t="s">
        <v>860</v>
      </c>
      <c r="B198" s="138">
        <v>138</v>
      </c>
      <c r="C198" s="139" t="s">
        <v>907</v>
      </c>
      <c r="D198" s="136" t="s">
        <v>1198</v>
      </c>
      <c r="E198" s="140">
        <v>4</v>
      </c>
      <c r="F198" s="140">
        <v>1</v>
      </c>
      <c r="G198" s="176">
        <v>626</v>
      </c>
      <c r="H198" s="176">
        <v>750</v>
      </c>
      <c r="I198" s="423">
        <f t="shared" si="3"/>
        <v>0.83466666666666667</v>
      </c>
      <c r="J198" s="139" t="s">
        <v>1079</v>
      </c>
      <c r="K198" s="139"/>
      <c r="L198" s="136" t="s">
        <v>117</v>
      </c>
    </row>
    <row r="199" spans="1:12" ht="15" customHeight="1" outlineLevel="2">
      <c r="A199" s="137" t="s">
        <v>860</v>
      </c>
      <c r="B199" s="138">
        <v>139</v>
      </c>
      <c r="C199" s="139" t="s">
        <v>1200</v>
      </c>
      <c r="D199" s="136" t="s">
        <v>1122</v>
      </c>
      <c r="E199" s="140">
        <v>2</v>
      </c>
      <c r="F199" s="140">
        <v>7</v>
      </c>
      <c r="G199" s="176">
        <v>773</v>
      </c>
      <c r="H199" s="176">
        <v>960</v>
      </c>
      <c r="I199" s="423">
        <f t="shared" si="3"/>
        <v>0.8052083333333333</v>
      </c>
      <c r="J199" s="139" t="s">
        <v>1079</v>
      </c>
      <c r="K199" s="139"/>
      <c r="L199" s="136" t="s">
        <v>117</v>
      </c>
    </row>
    <row r="200" spans="1:12" ht="15" customHeight="1" outlineLevel="2">
      <c r="A200" s="137" t="s">
        <v>860</v>
      </c>
      <c r="B200" s="138">
        <v>140</v>
      </c>
      <c r="C200" s="139" t="s">
        <v>915</v>
      </c>
      <c r="D200" s="136" t="s">
        <v>1188</v>
      </c>
      <c r="E200" s="140">
        <v>19</v>
      </c>
      <c r="F200" s="140">
        <v>65</v>
      </c>
      <c r="G200" s="176">
        <v>3729</v>
      </c>
      <c r="H200" s="176">
        <v>5760</v>
      </c>
      <c r="I200" s="423">
        <f t="shared" si="3"/>
        <v>0.64739583333333328</v>
      </c>
      <c r="J200" s="139" t="s">
        <v>1186</v>
      </c>
      <c r="K200" s="139"/>
      <c r="L200" s="136" t="s">
        <v>117</v>
      </c>
    </row>
    <row r="201" spans="1:12" ht="15" customHeight="1" outlineLevel="1">
      <c r="A201" s="206" t="s">
        <v>1201</v>
      </c>
      <c r="B201" s="207"/>
      <c r="C201" s="208"/>
      <c r="D201" s="209"/>
      <c r="E201" s="210"/>
      <c r="F201" s="210"/>
      <c r="G201" s="211">
        <f>SUBTOTAL(9,G190:G200)</f>
        <v>45580</v>
      </c>
      <c r="H201" s="211">
        <f>SUBTOTAL(9,H190:H200)</f>
        <v>69840</v>
      </c>
      <c r="I201" s="208"/>
      <c r="J201" s="208"/>
      <c r="K201" s="208"/>
      <c r="L201" s="209"/>
    </row>
    <row r="202" spans="1:12" ht="15" customHeight="1">
      <c r="A202" s="212" t="s">
        <v>1202</v>
      </c>
      <c r="B202" s="138"/>
      <c r="C202" s="139"/>
      <c r="D202" s="136"/>
      <c r="E202" s="140"/>
      <c r="F202" s="140"/>
      <c r="G202" s="176">
        <f>SUBTOTAL(9,G5:G200)</f>
        <v>935856</v>
      </c>
      <c r="H202" s="176">
        <f>SUBTOTAL(9,H5:H200)</f>
        <v>2055096</v>
      </c>
      <c r="I202" s="141"/>
      <c r="J202" s="139"/>
      <c r="K202" s="139"/>
      <c r="L202" s="136"/>
    </row>
    <row r="203" spans="1:12" ht="20.25" customHeight="1"/>
  </sheetData>
  <autoFilter ref="A4:L201" xr:uid="{00000000-0009-0000-0000-00000E000000}"/>
  <mergeCells count="2">
    <mergeCell ref="B2:L2"/>
    <mergeCell ref="A3:L3"/>
  </mergeCells>
  <printOptions gridLines="1"/>
  <pageMargins left="0.7" right="0.7" top="0.75" bottom="0.75" header="0.3" footer="0.3"/>
  <pageSetup scale="72" fitToHeight="0" orientation="landscape" useFirstPageNumber="1"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499984740745262"/>
  </sheetPr>
  <dimension ref="A1:O71"/>
  <sheetViews>
    <sheetView workbookViewId="0">
      <selection activeCell="D14" sqref="D14"/>
    </sheetView>
  </sheetViews>
  <sheetFormatPr defaultRowHeight="12.75"/>
  <cols>
    <col min="1" max="1" width="13.85546875" customWidth="1"/>
    <col min="2" max="2" width="10.28515625" bestFit="1" customWidth="1"/>
    <col min="4" max="4" width="17.140625" customWidth="1"/>
  </cols>
  <sheetData>
    <row r="1" spans="1:15">
      <c r="A1" s="391"/>
      <c r="B1" s="391"/>
      <c r="C1" s="391"/>
      <c r="D1" s="391"/>
      <c r="E1" s="391"/>
      <c r="F1" s="391"/>
      <c r="G1" s="391"/>
      <c r="H1" s="145"/>
      <c r="I1" s="145"/>
      <c r="J1" s="145"/>
      <c r="K1" s="145"/>
      <c r="L1" s="145"/>
      <c r="M1" s="145"/>
      <c r="N1" s="145"/>
      <c r="O1" s="145"/>
    </row>
    <row r="2" spans="1:15">
      <c r="A2" s="392" t="s">
        <v>1203</v>
      </c>
      <c r="B2" s="393">
        <v>44469</v>
      </c>
      <c r="C2" s="391" t="s">
        <v>1204</v>
      </c>
      <c r="D2" s="394" t="s">
        <v>1205</v>
      </c>
      <c r="E2" s="391"/>
      <c r="F2" s="391"/>
      <c r="G2" s="391"/>
      <c r="H2" s="145"/>
      <c r="I2" s="145"/>
      <c r="J2" s="145"/>
      <c r="K2" s="145"/>
      <c r="L2" s="145"/>
      <c r="M2" s="145"/>
      <c r="N2" s="145"/>
      <c r="O2" s="145"/>
    </row>
    <row r="3" spans="1:15">
      <c r="A3" s="391"/>
      <c r="B3" s="391"/>
      <c r="C3" s="391"/>
      <c r="D3" s="391"/>
      <c r="E3" s="391"/>
      <c r="F3" s="391"/>
      <c r="G3" s="391"/>
      <c r="H3" s="145"/>
      <c r="I3" s="145"/>
      <c r="J3" s="145"/>
      <c r="K3" s="145"/>
      <c r="L3" s="145"/>
      <c r="M3" s="145"/>
      <c r="N3" s="145"/>
      <c r="O3" s="145"/>
    </row>
    <row r="4" spans="1:15">
      <c r="A4" s="395" t="s">
        <v>1206</v>
      </c>
      <c r="B4" s="391"/>
      <c r="C4" s="391"/>
      <c r="D4" s="391" t="s">
        <v>1207</v>
      </c>
      <c r="E4" s="391"/>
      <c r="F4" s="391"/>
      <c r="G4" s="391"/>
      <c r="H4" s="145"/>
      <c r="I4" s="145"/>
      <c r="J4" s="145"/>
      <c r="K4" s="145"/>
      <c r="L4" s="145"/>
      <c r="M4" s="145"/>
      <c r="N4" s="145"/>
      <c r="O4" s="145"/>
    </row>
    <row r="5" spans="1:15">
      <c r="A5" s="391" t="s">
        <v>707</v>
      </c>
      <c r="B5" s="396">
        <v>0.16919999999999999</v>
      </c>
      <c r="C5" s="391"/>
      <c r="D5" s="391" t="s">
        <v>1208</v>
      </c>
      <c r="E5" s="391">
        <f>B6+B7+B8+B9+B10+B11+B12</f>
        <v>0.34510000000000007</v>
      </c>
      <c r="F5" s="391"/>
      <c r="G5" s="412"/>
      <c r="H5" s="145"/>
      <c r="I5" s="145"/>
      <c r="J5" s="145"/>
      <c r="K5" s="145"/>
      <c r="L5" s="145"/>
      <c r="M5" s="145"/>
      <c r="N5" s="145"/>
      <c r="O5" s="145"/>
    </row>
    <row r="6" spans="1:15">
      <c r="A6" s="391" t="s">
        <v>1209</v>
      </c>
      <c r="B6" s="396">
        <v>0.2291</v>
      </c>
      <c r="C6" s="391"/>
      <c r="D6" s="391" t="s">
        <v>1210</v>
      </c>
      <c r="E6" s="391">
        <f>B5+B8+B9+B10+B11+B12</f>
        <v>0.22320000000000001</v>
      </c>
      <c r="F6" s="391"/>
      <c r="G6" s="412"/>
      <c r="H6" s="145"/>
      <c r="I6" s="145"/>
      <c r="J6" s="145"/>
      <c r="K6" s="145"/>
      <c r="L6" s="145"/>
      <c r="M6" s="145"/>
      <c r="N6" s="145"/>
      <c r="O6" s="145"/>
    </row>
    <row r="7" spans="1:15">
      <c r="A7" s="391" t="s">
        <v>1211</v>
      </c>
      <c r="B7" s="396">
        <v>6.2E-2</v>
      </c>
      <c r="C7" s="391"/>
      <c r="D7" s="391" t="s">
        <v>1212</v>
      </c>
      <c r="E7" s="391">
        <f>B8+B9+B10+B11+B12+B7</f>
        <v>0.11600000000000001</v>
      </c>
      <c r="F7" s="391"/>
      <c r="G7" s="412"/>
      <c r="H7" s="145"/>
      <c r="I7" s="145"/>
      <c r="J7" s="145"/>
      <c r="K7" s="145"/>
      <c r="L7" s="145"/>
      <c r="M7" s="145"/>
      <c r="N7" s="145"/>
      <c r="O7" s="145"/>
    </row>
    <row r="8" spans="1:15">
      <c r="A8" s="391" t="s">
        <v>1213</v>
      </c>
      <c r="B8" s="396">
        <v>1.4500000000000001E-2</v>
      </c>
      <c r="C8" s="391"/>
      <c r="D8" s="391" t="s">
        <v>1214</v>
      </c>
      <c r="E8" s="391">
        <f>B10+B11+B12</f>
        <v>3.4500000000000003E-2</v>
      </c>
      <c r="F8" s="391"/>
      <c r="G8" s="412"/>
      <c r="H8" s="145"/>
      <c r="I8" s="145"/>
      <c r="J8" s="145"/>
      <c r="K8" s="145"/>
      <c r="L8" s="145"/>
      <c r="M8" s="145"/>
      <c r="N8" s="145"/>
      <c r="O8" s="145"/>
    </row>
    <row r="9" spans="1:15">
      <c r="A9" s="391" t="s">
        <v>709</v>
      </c>
      <c r="B9" s="396">
        <v>5.0000000000000001E-3</v>
      </c>
      <c r="C9" s="391"/>
      <c r="D9" s="391"/>
      <c r="E9" s="391"/>
      <c r="F9" s="391"/>
      <c r="G9" s="391"/>
      <c r="H9" s="145"/>
      <c r="I9" s="145"/>
      <c r="J9" s="145"/>
      <c r="K9" s="145"/>
      <c r="L9" s="145"/>
      <c r="M9" s="145"/>
      <c r="N9" s="145"/>
      <c r="O9" s="145"/>
    </row>
    <row r="10" spans="1:15">
      <c r="A10" s="391" t="s">
        <v>1215</v>
      </c>
      <c r="B10" s="396">
        <v>1.6E-2</v>
      </c>
      <c r="C10" s="391"/>
      <c r="D10" s="391"/>
      <c r="E10" s="391"/>
      <c r="F10" s="391"/>
      <c r="G10" s="391"/>
      <c r="H10" s="145"/>
      <c r="I10" s="145"/>
      <c r="J10" s="145"/>
      <c r="K10" s="145"/>
      <c r="L10" s="145"/>
      <c r="M10" s="145"/>
      <c r="N10" s="145"/>
      <c r="O10" s="145"/>
    </row>
    <row r="11" spans="1:15">
      <c r="A11" s="391" t="s">
        <v>712</v>
      </c>
      <c r="B11" s="396">
        <v>2E-3</v>
      </c>
      <c r="C11" s="391"/>
      <c r="D11" s="391"/>
      <c r="E11" s="391"/>
      <c r="F11" s="391"/>
      <c r="G11" s="391"/>
      <c r="H11" s="145"/>
      <c r="I11" s="145"/>
      <c r="J11" s="145"/>
      <c r="K11" s="145"/>
      <c r="L11" s="145"/>
      <c r="M11" s="145"/>
      <c r="N11" s="145"/>
      <c r="O11" s="145"/>
    </row>
    <row r="12" spans="1:15">
      <c r="A12" s="391" t="s">
        <v>711</v>
      </c>
      <c r="B12" s="396">
        <v>1.6500000000000001E-2</v>
      </c>
      <c r="C12" s="391"/>
      <c r="D12" s="391"/>
      <c r="E12" s="391"/>
      <c r="F12" s="391"/>
      <c r="G12" s="391"/>
      <c r="H12" s="145"/>
      <c r="I12" s="145"/>
      <c r="J12" s="145"/>
      <c r="K12" s="145"/>
      <c r="L12" s="145"/>
      <c r="M12" s="145"/>
      <c r="N12" s="145"/>
      <c r="O12" s="145"/>
    </row>
    <row r="13" spans="1:15">
      <c r="A13" s="391"/>
      <c r="B13" s="391"/>
      <c r="C13" s="391"/>
      <c r="D13" s="391"/>
      <c r="E13" s="391"/>
      <c r="F13" s="391"/>
      <c r="G13" s="391"/>
      <c r="H13" s="145"/>
      <c r="I13" s="145"/>
      <c r="J13" s="145"/>
      <c r="K13" s="145"/>
      <c r="L13" s="145"/>
      <c r="M13" s="145"/>
      <c r="N13" s="145"/>
      <c r="O13" s="145"/>
    </row>
    <row r="14" spans="1:15">
      <c r="A14" s="391"/>
      <c r="B14" s="391"/>
      <c r="C14" s="391"/>
      <c r="D14" s="391"/>
      <c r="E14" s="391"/>
      <c r="F14" s="391"/>
      <c r="G14" s="391"/>
      <c r="H14" s="145"/>
      <c r="I14" s="145"/>
      <c r="J14" s="145"/>
      <c r="K14" s="145"/>
      <c r="L14" s="145"/>
      <c r="M14" s="145"/>
      <c r="N14" s="145"/>
      <c r="O14" s="145"/>
    </row>
    <row r="15" spans="1:15">
      <c r="A15" s="397" t="s">
        <v>1216</v>
      </c>
      <c r="B15" s="391"/>
      <c r="C15" s="391"/>
      <c r="D15" s="391"/>
      <c r="E15" s="391"/>
      <c r="F15" s="391"/>
      <c r="G15" s="391"/>
      <c r="H15" s="145"/>
      <c r="I15" s="145"/>
      <c r="J15" s="145"/>
      <c r="K15" s="145"/>
      <c r="L15" s="145"/>
      <c r="M15" s="145"/>
      <c r="N15" s="145"/>
      <c r="O15" s="145"/>
    </row>
    <row r="16" spans="1:15">
      <c r="A16" s="391" t="s">
        <v>1217</v>
      </c>
      <c r="B16" s="398">
        <v>1330.68</v>
      </c>
      <c r="C16" s="391"/>
      <c r="D16" s="391"/>
      <c r="E16" s="391"/>
      <c r="F16" s="391"/>
      <c r="G16" s="391"/>
      <c r="H16" s="145"/>
      <c r="I16" s="145"/>
      <c r="J16" s="145"/>
      <c r="K16" s="145"/>
      <c r="L16" s="145"/>
      <c r="M16" s="145"/>
      <c r="N16" s="145"/>
      <c r="O16" s="145"/>
    </row>
    <row r="17" spans="1:15">
      <c r="A17" s="391" t="s">
        <v>1218</v>
      </c>
      <c r="B17" s="398">
        <v>105</v>
      </c>
      <c r="C17" s="391"/>
      <c r="D17" s="391"/>
      <c r="E17" s="391"/>
      <c r="F17" s="391"/>
      <c r="G17" s="391"/>
      <c r="H17" s="145"/>
      <c r="I17" s="145"/>
      <c r="J17" s="145"/>
      <c r="K17" s="145"/>
      <c r="L17" s="145"/>
      <c r="M17" s="145"/>
      <c r="N17" s="145"/>
      <c r="O17" s="145"/>
    </row>
    <row r="18" spans="1:15">
      <c r="A18" s="391" t="s">
        <v>1219</v>
      </c>
      <c r="B18" s="398">
        <v>31178.799999999999</v>
      </c>
      <c r="C18" s="391"/>
      <c r="D18" s="391"/>
      <c r="E18" s="391"/>
      <c r="F18" s="391"/>
      <c r="G18" s="391"/>
      <c r="H18" s="145"/>
      <c r="I18" s="145"/>
      <c r="J18" s="145"/>
      <c r="K18" s="145"/>
      <c r="L18" s="145"/>
      <c r="M18" s="145"/>
      <c r="N18" s="145"/>
      <c r="O18" s="145"/>
    </row>
    <row r="19" spans="1:15">
      <c r="A19" s="391"/>
      <c r="B19" s="399">
        <f>SUM(B16:B18)</f>
        <v>32614.48</v>
      </c>
      <c r="C19" s="391"/>
      <c r="D19" s="391"/>
      <c r="E19" s="391"/>
      <c r="F19" s="391"/>
      <c r="G19" s="391"/>
      <c r="H19" s="145"/>
      <c r="I19" s="145"/>
      <c r="J19" s="145"/>
      <c r="K19" s="145"/>
      <c r="L19" s="145"/>
      <c r="M19" s="145"/>
      <c r="N19" s="145"/>
      <c r="O19" s="145"/>
    </row>
    <row r="20" spans="1:15">
      <c r="A20" s="391"/>
      <c r="B20" s="391"/>
      <c r="C20" s="391"/>
      <c r="D20" s="391"/>
      <c r="E20" s="391"/>
      <c r="F20" s="391"/>
      <c r="G20" s="391"/>
      <c r="H20" s="145"/>
      <c r="I20" s="145"/>
      <c r="J20" s="145"/>
      <c r="K20" s="145"/>
      <c r="L20" s="145"/>
      <c r="M20" s="145"/>
      <c r="N20" s="145"/>
      <c r="O20" s="145"/>
    </row>
    <row r="21" spans="1:15">
      <c r="A21" s="397" t="s">
        <v>1220</v>
      </c>
      <c r="B21" s="391"/>
      <c r="C21" s="391"/>
      <c r="D21" s="391"/>
      <c r="E21" s="391"/>
      <c r="F21" s="391"/>
      <c r="G21" s="391"/>
      <c r="H21" s="145"/>
      <c r="I21" s="145"/>
      <c r="J21" s="145"/>
      <c r="K21" s="145"/>
      <c r="L21" s="145"/>
      <c r="M21" s="145"/>
      <c r="N21" s="145"/>
      <c r="O21" s="145"/>
    </row>
    <row r="22" spans="1:15">
      <c r="A22" s="391" t="s">
        <v>1221</v>
      </c>
      <c r="B22" s="391"/>
      <c r="C22" s="391"/>
      <c r="D22" s="391"/>
      <c r="E22" s="391"/>
      <c r="F22" s="391"/>
      <c r="G22" s="391"/>
      <c r="H22" s="145"/>
      <c r="I22" s="145"/>
      <c r="J22" s="145"/>
      <c r="K22" s="145"/>
      <c r="L22" s="145"/>
      <c r="M22" s="145"/>
      <c r="N22" s="145"/>
      <c r="O22" s="145"/>
    </row>
    <row r="23" spans="1:15">
      <c r="A23" s="391"/>
      <c r="B23" s="391"/>
      <c r="C23" s="391"/>
      <c r="D23" s="391"/>
      <c r="E23" s="391"/>
      <c r="F23" s="391"/>
      <c r="G23" s="391"/>
      <c r="H23" s="145"/>
      <c r="I23" s="145"/>
      <c r="J23" s="145"/>
      <c r="K23" s="145"/>
      <c r="L23" s="145"/>
      <c r="M23" s="145"/>
      <c r="N23" s="145"/>
      <c r="O23" s="145"/>
    </row>
    <row r="24" spans="1:15">
      <c r="A24" s="398">
        <v>516</v>
      </c>
      <c r="B24" s="391" t="s">
        <v>1222</v>
      </c>
      <c r="C24" s="391"/>
      <c r="D24" s="391"/>
      <c r="E24" s="391"/>
      <c r="F24" s="391"/>
      <c r="G24" s="391"/>
      <c r="H24" s="145"/>
      <c r="I24" s="145"/>
      <c r="J24" s="145"/>
      <c r="K24" s="145"/>
      <c r="L24" s="145"/>
      <c r="M24" s="145"/>
      <c r="N24" s="145"/>
      <c r="O24" s="145"/>
    </row>
    <row r="25" spans="1:15">
      <c r="A25" s="398">
        <v>124</v>
      </c>
      <c r="B25" s="391" t="s">
        <v>1223</v>
      </c>
      <c r="C25" s="391"/>
      <c r="D25" s="391"/>
      <c r="E25" s="391"/>
      <c r="F25" s="391"/>
      <c r="G25" s="391"/>
      <c r="H25" s="145"/>
      <c r="I25" s="145"/>
      <c r="J25" s="145"/>
      <c r="K25" s="145"/>
      <c r="L25" s="145"/>
      <c r="M25" s="145"/>
      <c r="N25" s="145"/>
      <c r="O25" s="145"/>
    </row>
    <row r="26" spans="1:15">
      <c r="A26" s="398">
        <v>342</v>
      </c>
      <c r="B26" s="391" t="s">
        <v>1224</v>
      </c>
      <c r="C26" s="391"/>
      <c r="D26" s="391"/>
      <c r="E26" s="391"/>
      <c r="F26" s="391"/>
      <c r="G26" s="391"/>
      <c r="H26" s="145"/>
      <c r="I26" s="145"/>
      <c r="J26" s="145"/>
      <c r="K26" s="145"/>
      <c r="L26" s="145"/>
      <c r="M26" s="145"/>
      <c r="N26" s="145"/>
      <c r="O26" s="145"/>
    </row>
    <row r="27" spans="1:15">
      <c r="A27" s="398">
        <v>342</v>
      </c>
      <c r="B27" s="391" t="s">
        <v>1225</v>
      </c>
      <c r="C27" s="391"/>
      <c r="D27" s="391"/>
      <c r="E27" s="391"/>
      <c r="F27" s="391"/>
      <c r="G27" s="391"/>
      <c r="H27" s="145"/>
      <c r="I27" s="145"/>
      <c r="J27" s="145"/>
      <c r="K27" s="145"/>
      <c r="L27" s="145"/>
      <c r="M27" s="145"/>
      <c r="N27" s="145"/>
      <c r="O27" s="145"/>
    </row>
    <row r="28" spans="1:15">
      <c r="A28" s="398">
        <v>291</v>
      </c>
      <c r="B28" s="391" t="s">
        <v>1226</v>
      </c>
      <c r="C28" s="391"/>
      <c r="D28" s="391"/>
      <c r="E28" s="391"/>
      <c r="F28" s="391"/>
      <c r="G28" s="391"/>
      <c r="H28" s="145"/>
      <c r="I28" s="145"/>
      <c r="J28" s="145"/>
      <c r="K28" s="145"/>
      <c r="L28" s="145"/>
      <c r="M28" s="145"/>
      <c r="N28" s="145"/>
      <c r="O28" s="145"/>
    </row>
    <row r="29" spans="1:15">
      <c r="A29" s="400">
        <v>260</v>
      </c>
      <c r="B29" s="391" t="s">
        <v>1227</v>
      </c>
      <c r="C29" s="391"/>
      <c r="D29" s="391"/>
      <c r="E29" s="391"/>
      <c r="F29" s="391"/>
      <c r="G29" s="391"/>
      <c r="H29" s="145"/>
      <c r="I29" s="145"/>
      <c r="J29" s="145"/>
      <c r="K29" s="145"/>
      <c r="L29" s="145"/>
      <c r="M29" s="145"/>
      <c r="N29" s="145"/>
      <c r="O29" s="145"/>
    </row>
    <row r="30" spans="1:15">
      <c r="A30" s="401">
        <f>SUM(A24:A29)</f>
        <v>1875</v>
      </c>
      <c r="B30" s="391"/>
      <c r="C30" s="391"/>
      <c r="D30" s="391"/>
      <c r="E30" s="391"/>
      <c r="F30" s="391"/>
      <c r="G30" s="391"/>
      <c r="H30" s="145"/>
      <c r="I30" s="145"/>
      <c r="J30" s="145"/>
      <c r="K30" s="145"/>
      <c r="L30" s="145"/>
      <c r="M30" s="145"/>
      <c r="N30" s="145"/>
      <c r="O30" s="145"/>
    </row>
    <row r="31" spans="1:15">
      <c r="A31" s="402">
        <f>ROUND(A30*B31,0)</f>
        <v>164</v>
      </c>
      <c r="B31" s="396">
        <v>8.7499999999999994E-2</v>
      </c>
      <c r="C31" s="391" t="s">
        <v>1228</v>
      </c>
      <c r="D31" s="391"/>
      <c r="E31" s="391"/>
      <c r="F31" s="391"/>
      <c r="G31" s="391"/>
      <c r="H31" s="145"/>
      <c r="I31" s="145"/>
      <c r="J31" s="145"/>
      <c r="K31" s="145"/>
      <c r="L31" s="145"/>
      <c r="M31" s="145"/>
      <c r="N31" s="145"/>
      <c r="O31" s="145"/>
    </row>
    <row r="32" spans="1:15">
      <c r="A32" s="403">
        <f>A31+A30</f>
        <v>2039</v>
      </c>
      <c r="B32" s="391"/>
      <c r="C32" s="391"/>
      <c r="D32" s="391"/>
      <c r="E32" s="391"/>
      <c r="F32" s="391"/>
      <c r="G32" s="391"/>
      <c r="H32" s="145"/>
      <c r="I32" s="145"/>
      <c r="J32" s="145"/>
      <c r="K32" s="145"/>
      <c r="L32" s="145"/>
      <c r="M32" s="145"/>
      <c r="N32" s="145"/>
      <c r="O32" s="145"/>
    </row>
    <row r="33" spans="1:15">
      <c r="A33" s="400">
        <v>925</v>
      </c>
      <c r="B33" s="391" t="s">
        <v>1229</v>
      </c>
      <c r="C33" s="391"/>
      <c r="D33" s="391"/>
      <c r="E33" s="391"/>
      <c r="F33" s="391"/>
      <c r="G33" s="391"/>
      <c r="H33" s="145"/>
      <c r="I33" s="145"/>
      <c r="J33" s="145"/>
      <c r="K33" s="145"/>
      <c r="L33" s="145"/>
      <c r="M33" s="145"/>
      <c r="N33" s="145"/>
      <c r="O33" s="145"/>
    </row>
    <row r="34" spans="1:15">
      <c r="A34" s="404">
        <f>A33+A32</f>
        <v>2964</v>
      </c>
      <c r="B34" s="391"/>
      <c r="C34" s="391"/>
      <c r="D34" s="391"/>
      <c r="E34" s="391"/>
      <c r="F34" s="391"/>
      <c r="G34" s="391"/>
      <c r="H34" s="145"/>
      <c r="I34" s="145"/>
      <c r="J34" s="145"/>
      <c r="K34" s="145"/>
      <c r="L34" s="145"/>
      <c r="M34" s="145"/>
      <c r="N34" s="145"/>
      <c r="O34" s="145"/>
    </row>
    <row r="35" spans="1:15">
      <c r="A35" s="398">
        <v>200</v>
      </c>
      <c r="B35" s="391" t="s">
        <v>1230</v>
      </c>
      <c r="C35" s="391"/>
      <c r="D35" s="391"/>
      <c r="E35" s="391"/>
      <c r="F35" s="391"/>
      <c r="G35" s="391"/>
      <c r="H35" s="145"/>
      <c r="I35" s="145"/>
      <c r="J35" s="145"/>
      <c r="K35" s="145"/>
      <c r="L35" s="145"/>
      <c r="M35" s="145"/>
      <c r="N35" s="145"/>
      <c r="O35" s="145"/>
    </row>
    <row r="36" spans="1:15">
      <c r="A36" s="400">
        <v>1980</v>
      </c>
      <c r="B36" s="391" t="s">
        <v>1231</v>
      </c>
      <c r="C36" s="391"/>
      <c r="D36" s="391"/>
      <c r="E36" s="391"/>
      <c r="F36" s="391"/>
      <c r="G36" s="391"/>
      <c r="H36" s="145"/>
      <c r="I36" s="145"/>
      <c r="J36" s="145"/>
      <c r="K36" s="145"/>
      <c r="L36" s="145"/>
      <c r="M36" s="145"/>
      <c r="N36" s="145"/>
      <c r="O36" s="145"/>
    </row>
    <row r="37" spans="1:15">
      <c r="A37" s="401">
        <f>A36+A35</f>
        <v>2180</v>
      </c>
      <c r="B37" s="391"/>
      <c r="C37" s="391"/>
      <c r="D37" s="391"/>
      <c r="E37" s="391"/>
      <c r="F37" s="391"/>
      <c r="G37" s="391"/>
      <c r="H37" s="145"/>
      <c r="I37" s="145"/>
      <c r="J37" s="145"/>
      <c r="K37" s="145"/>
      <c r="L37" s="145"/>
      <c r="M37" s="145"/>
      <c r="N37" s="145"/>
      <c r="O37" s="145"/>
    </row>
    <row r="38" spans="1:15">
      <c r="A38" s="405">
        <f>ROUND(A37*B38,0)</f>
        <v>191</v>
      </c>
      <c r="B38" s="391">
        <f>$B$31</f>
        <v>8.7499999999999994E-2</v>
      </c>
      <c r="C38" s="391" t="s">
        <v>1228</v>
      </c>
      <c r="D38" s="391"/>
      <c r="E38" s="391"/>
      <c r="F38" s="391"/>
      <c r="G38" s="391"/>
      <c r="H38" s="145"/>
      <c r="I38" s="145"/>
      <c r="J38" s="145"/>
      <c r="K38" s="145"/>
      <c r="L38" s="145"/>
      <c r="M38" s="145"/>
      <c r="N38" s="145"/>
      <c r="O38" s="145"/>
    </row>
    <row r="39" spans="1:15">
      <c r="A39" s="406">
        <f>A38+A37</f>
        <v>2371</v>
      </c>
      <c r="B39" s="391"/>
      <c r="C39" s="391"/>
      <c r="D39" s="391"/>
      <c r="E39" s="391"/>
      <c r="F39" s="391"/>
      <c r="G39" s="391"/>
      <c r="H39" s="145"/>
      <c r="I39" s="145"/>
      <c r="J39" s="145"/>
      <c r="K39" s="145"/>
      <c r="L39" s="145"/>
      <c r="M39" s="145"/>
      <c r="N39" s="145"/>
      <c r="O39" s="145"/>
    </row>
    <row r="40" spans="1:15" ht="13.5" thickBot="1">
      <c r="A40" s="391"/>
      <c r="B40" s="391"/>
      <c r="C40" s="391"/>
      <c r="D40" s="391"/>
      <c r="E40" s="391"/>
      <c r="F40" s="391"/>
      <c r="G40" s="391"/>
      <c r="H40" s="145"/>
      <c r="I40" s="145"/>
      <c r="J40" s="145"/>
      <c r="K40" s="145"/>
      <c r="L40" s="145"/>
      <c r="M40" s="145"/>
      <c r="N40" s="145"/>
      <c r="O40" s="145"/>
    </row>
    <row r="41" spans="1:15" ht="14.25" thickTop="1" thickBot="1">
      <c r="A41" s="407">
        <f>A39+A34</f>
        <v>5335</v>
      </c>
      <c r="B41" s="408" t="s">
        <v>23</v>
      </c>
      <c r="C41" s="391"/>
      <c r="D41" s="391"/>
      <c r="E41" s="391"/>
      <c r="F41" s="391"/>
      <c r="G41" s="391"/>
      <c r="H41" s="145"/>
      <c r="I41" s="145"/>
      <c r="J41" s="145"/>
      <c r="K41" s="145"/>
      <c r="L41" s="145"/>
      <c r="M41" s="145"/>
      <c r="N41" s="145"/>
      <c r="O41" s="145"/>
    </row>
    <row r="42" spans="1:15" ht="13.5" thickTop="1">
      <c r="A42" s="145"/>
      <c r="B42" s="145"/>
      <c r="C42" s="145"/>
      <c r="D42" s="145"/>
      <c r="E42" s="145"/>
      <c r="F42" s="145"/>
      <c r="G42" s="145"/>
      <c r="H42" s="145"/>
      <c r="I42" s="145"/>
      <c r="J42" s="145"/>
      <c r="K42" s="145"/>
      <c r="L42" s="145"/>
      <c r="M42" s="145"/>
      <c r="N42" s="145"/>
      <c r="O42" s="145"/>
    </row>
    <row r="43" spans="1:15">
      <c r="A43" s="145"/>
      <c r="B43" s="145"/>
      <c r="C43" s="145"/>
      <c r="D43" s="145"/>
      <c r="E43" s="145"/>
      <c r="F43" s="145"/>
      <c r="G43" s="145"/>
      <c r="H43" s="145"/>
      <c r="I43" s="145"/>
      <c r="J43" s="145"/>
      <c r="K43" s="145"/>
      <c r="L43" s="145"/>
      <c r="M43" s="145"/>
      <c r="N43" s="145"/>
      <c r="O43" s="145"/>
    </row>
    <row r="44" spans="1:15">
      <c r="A44" s="145"/>
      <c r="B44" s="145"/>
      <c r="C44" s="145"/>
      <c r="D44" s="145"/>
      <c r="E44" s="145"/>
      <c r="F44" s="145"/>
      <c r="G44" s="145"/>
      <c r="H44" s="145"/>
      <c r="I44" s="145"/>
      <c r="J44" s="145"/>
      <c r="K44" s="145"/>
      <c r="L44" s="145"/>
      <c r="M44" s="145"/>
      <c r="N44" s="145"/>
      <c r="O44" s="145"/>
    </row>
    <row r="45" spans="1:15">
      <c r="A45" s="145"/>
      <c r="B45" s="145"/>
      <c r="C45" s="145"/>
      <c r="D45" s="145"/>
      <c r="E45" s="145"/>
      <c r="F45" s="145"/>
      <c r="G45" s="145"/>
      <c r="H45" s="145"/>
      <c r="I45" s="145"/>
      <c r="J45" s="145"/>
      <c r="K45" s="145"/>
      <c r="L45" s="145"/>
      <c r="M45" s="145"/>
      <c r="N45" s="145"/>
      <c r="O45" s="145"/>
    </row>
    <row r="46" spans="1:15">
      <c r="A46" s="145"/>
      <c r="B46" s="145"/>
      <c r="C46" s="145"/>
      <c r="D46" s="145"/>
      <c r="E46" s="145"/>
      <c r="F46" s="145"/>
      <c r="G46" s="145"/>
      <c r="H46" s="145"/>
      <c r="I46" s="145"/>
      <c r="J46" s="145"/>
      <c r="K46" s="145"/>
      <c r="L46" s="145"/>
      <c r="M46" s="145"/>
      <c r="N46" s="145"/>
      <c r="O46" s="145"/>
    </row>
    <row r="47" spans="1:15">
      <c r="A47" s="145"/>
      <c r="B47" s="145"/>
      <c r="C47" s="145"/>
      <c r="D47" s="145"/>
      <c r="E47" s="145"/>
      <c r="F47" s="145"/>
      <c r="G47" s="145"/>
      <c r="H47" s="145"/>
      <c r="I47" s="145"/>
      <c r="J47" s="145"/>
      <c r="K47" s="145"/>
      <c r="L47" s="145"/>
      <c r="M47" s="145"/>
      <c r="N47" s="145"/>
      <c r="O47" s="145"/>
    </row>
    <row r="48" spans="1:15">
      <c r="A48" s="145"/>
      <c r="B48" s="145"/>
      <c r="C48" s="145"/>
      <c r="D48" s="145"/>
      <c r="E48" s="145"/>
      <c r="F48" s="145"/>
      <c r="G48" s="145"/>
      <c r="H48" s="145"/>
      <c r="I48" s="145"/>
      <c r="J48" s="145"/>
      <c r="K48" s="145"/>
      <c r="L48" s="145"/>
      <c r="M48" s="145"/>
      <c r="N48" s="145"/>
      <c r="O48" s="145"/>
    </row>
    <row r="49" spans="1:15">
      <c r="A49" s="145"/>
      <c r="B49" s="145"/>
      <c r="C49" s="145"/>
      <c r="D49" s="145"/>
      <c r="E49" s="145"/>
      <c r="F49" s="145"/>
      <c r="G49" s="145"/>
      <c r="H49" s="145"/>
      <c r="I49" s="145"/>
      <c r="J49" s="145"/>
      <c r="K49" s="145"/>
      <c r="L49" s="145"/>
      <c r="M49" s="145"/>
      <c r="N49" s="145"/>
      <c r="O49" s="145"/>
    </row>
    <row r="50" spans="1:15">
      <c r="A50" s="145"/>
      <c r="B50" s="145"/>
      <c r="C50" s="145"/>
      <c r="D50" s="145"/>
      <c r="E50" s="145"/>
      <c r="F50" s="145"/>
      <c r="G50" s="145"/>
      <c r="H50" s="145"/>
      <c r="I50" s="145"/>
      <c r="J50" s="145"/>
      <c r="K50" s="145"/>
      <c r="L50" s="145"/>
      <c r="M50" s="145"/>
      <c r="N50" s="145"/>
      <c r="O50" s="145"/>
    </row>
    <row r="51" spans="1:15">
      <c r="A51" s="145"/>
      <c r="B51" s="145"/>
      <c r="C51" s="145"/>
      <c r="D51" s="145"/>
      <c r="E51" s="145"/>
      <c r="F51" s="145"/>
      <c r="G51" s="145"/>
      <c r="H51" s="145"/>
      <c r="I51" s="145"/>
      <c r="J51" s="145"/>
      <c r="K51" s="145"/>
      <c r="L51" s="145"/>
      <c r="M51" s="145"/>
      <c r="N51" s="145"/>
      <c r="O51" s="145"/>
    </row>
    <row r="52" spans="1:15">
      <c r="A52" s="145"/>
      <c r="B52" s="145"/>
      <c r="C52" s="145"/>
      <c r="D52" s="145"/>
      <c r="E52" s="145"/>
      <c r="F52" s="145"/>
      <c r="G52" s="145"/>
      <c r="H52" s="145"/>
      <c r="I52" s="145"/>
      <c r="J52" s="145"/>
      <c r="K52" s="145"/>
      <c r="L52" s="145"/>
      <c r="M52" s="145"/>
      <c r="N52" s="145"/>
      <c r="O52" s="145"/>
    </row>
    <row r="53" spans="1:15">
      <c r="A53" s="145"/>
      <c r="B53" s="145"/>
      <c r="C53" s="145"/>
      <c r="D53" s="145"/>
      <c r="E53" s="145"/>
      <c r="F53" s="145"/>
      <c r="G53" s="145"/>
      <c r="H53" s="145"/>
      <c r="I53" s="145"/>
      <c r="J53" s="145"/>
      <c r="K53" s="145"/>
      <c r="L53" s="145"/>
      <c r="M53" s="145"/>
      <c r="N53" s="145"/>
      <c r="O53" s="145"/>
    </row>
    <row r="54" spans="1:15">
      <c r="A54" s="145"/>
      <c r="B54" s="145"/>
      <c r="C54" s="145"/>
      <c r="D54" s="145"/>
      <c r="E54" s="145"/>
      <c r="F54" s="145"/>
      <c r="G54" s="145"/>
      <c r="H54" s="145"/>
      <c r="I54" s="145"/>
      <c r="J54" s="145"/>
      <c r="K54" s="145"/>
      <c r="L54" s="145"/>
      <c r="M54" s="145"/>
      <c r="N54" s="145"/>
      <c r="O54" s="145"/>
    </row>
    <row r="55" spans="1:15">
      <c r="A55" s="145"/>
      <c r="B55" s="145"/>
      <c r="C55" s="145"/>
      <c r="D55" s="145"/>
      <c r="E55" s="145"/>
      <c r="F55" s="145"/>
      <c r="G55" s="145"/>
      <c r="H55" s="145"/>
      <c r="I55" s="145"/>
      <c r="J55" s="145"/>
      <c r="K55" s="145"/>
      <c r="L55" s="145"/>
      <c r="M55" s="145"/>
      <c r="N55" s="145"/>
      <c r="O55" s="145"/>
    </row>
    <row r="56" spans="1:15">
      <c r="A56" s="145"/>
      <c r="B56" s="145"/>
      <c r="C56" s="145"/>
      <c r="D56" s="145"/>
      <c r="E56" s="145"/>
      <c r="F56" s="145"/>
      <c r="G56" s="145"/>
      <c r="H56" s="145"/>
      <c r="I56" s="145"/>
      <c r="J56" s="145"/>
      <c r="K56" s="145"/>
      <c r="L56" s="145"/>
      <c r="M56" s="145"/>
      <c r="N56" s="145"/>
      <c r="O56" s="145"/>
    </row>
    <row r="57" spans="1:15">
      <c r="A57" s="145"/>
      <c r="B57" s="145"/>
      <c r="C57" s="145"/>
      <c r="D57" s="145"/>
      <c r="E57" s="145"/>
      <c r="F57" s="145"/>
      <c r="G57" s="145"/>
      <c r="H57" s="145"/>
      <c r="I57" s="145"/>
      <c r="J57" s="145"/>
      <c r="K57" s="145"/>
      <c r="L57" s="145"/>
      <c r="M57" s="145"/>
      <c r="N57" s="145"/>
      <c r="O57" s="145"/>
    </row>
    <row r="58" spans="1:15">
      <c r="A58" s="145"/>
      <c r="B58" s="145"/>
      <c r="C58" s="145"/>
      <c r="D58" s="145"/>
      <c r="E58" s="145"/>
      <c r="F58" s="145"/>
      <c r="G58" s="145"/>
      <c r="H58" s="145"/>
      <c r="I58" s="145"/>
      <c r="J58" s="145"/>
      <c r="K58" s="145"/>
      <c r="L58" s="145"/>
      <c r="M58" s="145"/>
      <c r="N58" s="145"/>
      <c r="O58" s="145"/>
    </row>
    <row r="59" spans="1:15">
      <c r="A59" s="145"/>
      <c r="B59" s="145"/>
      <c r="C59" s="145"/>
      <c r="D59" s="145"/>
      <c r="E59" s="145"/>
      <c r="F59" s="145"/>
      <c r="G59" s="145"/>
      <c r="H59" s="145"/>
      <c r="I59" s="145"/>
      <c r="J59" s="145"/>
      <c r="K59" s="145"/>
      <c r="L59" s="145"/>
      <c r="M59" s="145"/>
      <c r="N59" s="145"/>
      <c r="O59" s="145"/>
    </row>
    <row r="60" spans="1:15">
      <c r="A60" s="145"/>
      <c r="B60" s="145"/>
      <c r="C60" s="145"/>
      <c r="D60" s="145"/>
      <c r="E60" s="145"/>
      <c r="F60" s="145"/>
      <c r="G60" s="145"/>
      <c r="H60" s="145"/>
      <c r="I60" s="145"/>
      <c r="J60" s="145"/>
      <c r="K60" s="145"/>
      <c r="L60" s="145"/>
      <c r="M60" s="145"/>
      <c r="N60" s="145"/>
      <c r="O60" s="145"/>
    </row>
    <row r="61" spans="1:15">
      <c r="A61" s="145"/>
      <c r="B61" s="145"/>
      <c r="C61" s="145"/>
      <c r="D61" s="145"/>
      <c r="E61" s="145"/>
      <c r="F61" s="145"/>
      <c r="G61" s="145"/>
      <c r="H61" s="145"/>
      <c r="I61" s="145"/>
      <c r="J61" s="145"/>
      <c r="K61" s="145"/>
      <c r="L61" s="145"/>
      <c r="M61" s="145"/>
      <c r="N61" s="145"/>
      <c r="O61" s="145"/>
    </row>
    <row r="62" spans="1:15">
      <c r="A62" s="145"/>
      <c r="B62" s="145"/>
      <c r="C62" s="145"/>
      <c r="D62" s="145"/>
      <c r="E62" s="145"/>
      <c r="F62" s="145"/>
      <c r="G62" s="145"/>
      <c r="H62" s="145"/>
      <c r="I62" s="145"/>
      <c r="J62" s="145"/>
      <c r="K62" s="145"/>
      <c r="L62" s="145"/>
      <c r="M62" s="145"/>
      <c r="N62" s="145"/>
      <c r="O62" s="145"/>
    </row>
    <row r="63" spans="1:15">
      <c r="A63" s="145"/>
      <c r="B63" s="145"/>
      <c r="C63" s="145"/>
      <c r="D63" s="145"/>
      <c r="E63" s="145"/>
      <c r="F63" s="145"/>
      <c r="G63" s="145"/>
      <c r="H63" s="145"/>
      <c r="I63" s="145"/>
      <c r="J63" s="145"/>
      <c r="K63" s="145"/>
      <c r="L63" s="145"/>
      <c r="M63" s="145"/>
      <c r="N63" s="145"/>
      <c r="O63" s="145"/>
    </row>
    <row r="64" spans="1:15">
      <c r="A64" s="145"/>
      <c r="B64" s="145"/>
      <c r="C64" s="145"/>
      <c r="D64" s="145"/>
      <c r="E64" s="145"/>
      <c r="F64" s="145"/>
      <c r="G64" s="145"/>
      <c r="H64" s="145"/>
      <c r="I64" s="145"/>
      <c r="J64" s="145"/>
      <c r="K64" s="145"/>
      <c r="L64" s="145"/>
      <c r="M64" s="145"/>
      <c r="N64" s="145"/>
      <c r="O64" s="145"/>
    </row>
    <row r="65" spans="1:15">
      <c r="A65" s="145"/>
      <c r="B65" s="145"/>
      <c r="C65" s="145"/>
      <c r="D65" s="145"/>
      <c r="E65" s="145"/>
      <c r="F65" s="145"/>
      <c r="G65" s="145"/>
      <c r="H65" s="145"/>
      <c r="I65" s="145"/>
      <c r="J65" s="145"/>
      <c r="K65" s="145"/>
      <c r="L65" s="145"/>
      <c r="M65" s="145"/>
      <c r="N65" s="145"/>
      <c r="O65" s="145"/>
    </row>
    <row r="66" spans="1:15">
      <c r="A66" s="145"/>
      <c r="B66" s="145"/>
      <c r="C66" s="145"/>
      <c r="D66" s="145"/>
      <c r="E66" s="145"/>
      <c r="F66" s="145"/>
      <c r="G66" s="145"/>
      <c r="H66" s="145"/>
      <c r="I66" s="145"/>
      <c r="J66" s="145"/>
      <c r="K66" s="145"/>
      <c r="L66" s="145"/>
      <c r="M66" s="145"/>
      <c r="N66" s="145"/>
      <c r="O66" s="145"/>
    </row>
    <row r="67" spans="1:15">
      <c r="A67" s="145"/>
      <c r="B67" s="145"/>
      <c r="C67" s="145"/>
      <c r="D67" s="145"/>
      <c r="E67" s="145"/>
      <c r="F67" s="145"/>
      <c r="G67" s="145"/>
      <c r="H67" s="145"/>
      <c r="I67" s="145"/>
      <c r="J67" s="145"/>
      <c r="K67" s="145"/>
      <c r="L67" s="145"/>
      <c r="M67" s="145"/>
      <c r="N67" s="145"/>
      <c r="O67" s="145"/>
    </row>
    <row r="68" spans="1:15">
      <c r="A68" s="145"/>
      <c r="B68" s="145"/>
      <c r="C68" s="145"/>
      <c r="D68" s="145"/>
      <c r="E68" s="145"/>
      <c r="F68" s="145"/>
      <c r="G68" s="145"/>
      <c r="H68" s="145"/>
      <c r="I68" s="145"/>
      <c r="J68" s="145"/>
      <c r="K68" s="145"/>
      <c r="L68" s="145"/>
      <c r="M68" s="145"/>
      <c r="N68" s="145"/>
      <c r="O68" s="145"/>
    </row>
    <row r="69" spans="1:15">
      <c r="A69" s="145"/>
      <c r="B69" s="145"/>
      <c r="C69" s="145"/>
      <c r="D69" s="145"/>
      <c r="E69" s="145"/>
      <c r="F69" s="145"/>
      <c r="G69" s="145"/>
      <c r="H69" s="145"/>
      <c r="I69" s="145"/>
      <c r="J69" s="145"/>
      <c r="K69" s="145"/>
      <c r="L69" s="145"/>
      <c r="M69" s="145"/>
      <c r="N69" s="145"/>
      <c r="O69" s="145"/>
    </row>
    <row r="70" spans="1:15">
      <c r="A70" s="145"/>
      <c r="B70" s="145"/>
      <c r="C70" s="145"/>
      <c r="D70" s="145"/>
      <c r="E70" s="145"/>
      <c r="F70" s="145"/>
      <c r="G70" s="145"/>
      <c r="H70" s="145"/>
      <c r="I70" s="145"/>
      <c r="J70" s="145"/>
      <c r="K70" s="145"/>
      <c r="L70" s="145"/>
      <c r="M70" s="145"/>
      <c r="N70" s="145"/>
      <c r="O70" s="145"/>
    </row>
    <row r="71" spans="1:15">
      <c r="A71" s="145"/>
      <c r="B71" s="145"/>
      <c r="C71" s="145"/>
      <c r="D71" s="145"/>
      <c r="E71" s="145"/>
      <c r="F71" s="145"/>
      <c r="G71" s="145"/>
      <c r="H71" s="145"/>
      <c r="I71" s="145"/>
      <c r="J71" s="145"/>
      <c r="K71" s="145"/>
      <c r="L71" s="145"/>
      <c r="M71" s="145"/>
      <c r="N71" s="145"/>
      <c r="O71" s="145"/>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C00000"/>
  </sheetPr>
  <dimension ref="A1:L54"/>
  <sheetViews>
    <sheetView topLeftCell="A7" workbookViewId="0">
      <selection activeCell="B38" sqref="B38"/>
    </sheetView>
  </sheetViews>
  <sheetFormatPr defaultRowHeight="12.75"/>
  <cols>
    <col min="1" max="1" width="30" customWidth="1"/>
    <col min="2" max="2" width="125.28515625" customWidth="1"/>
  </cols>
  <sheetData>
    <row r="1" spans="1:12">
      <c r="A1" s="163"/>
      <c r="B1" s="145"/>
    </row>
    <row r="2" spans="1:12">
      <c r="A2" s="172" t="s">
        <v>1232</v>
      </c>
      <c r="B2" s="172" t="s">
        <v>1233</v>
      </c>
    </row>
    <row r="3" spans="1:12" s="131" customFormat="1" ht="21.95" customHeight="1">
      <c r="A3" s="174" t="s">
        <v>1234</v>
      </c>
      <c r="B3" s="174" t="s">
        <v>1235</v>
      </c>
    </row>
    <row r="4" spans="1:12" s="131" customFormat="1">
      <c r="A4" s="173"/>
      <c r="B4" s="173"/>
    </row>
    <row r="5" spans="1:12" ht="12.95" customHeight="1">
      <c r="A5" s="145" t="s">
        <v>1236</v>
      </c>
      <c r="B5" t="s">
        <v>1237</v>
      </c>
      <c r="I5" s="169"/>
      <c r="J5" s="169"/>
      <c r="K5" s="169"/>
      <c r="L5" s="169" t="s">
        <v>1238</v>
      </c>
    </row>
    <row r="6" spans="1:12" ht="12.95" customHeight="1">
      <c r="H6" s="169"/>
      <c r="I6" s="169"/>
      <c r="J6" s="169"/>
      <c r="K6" s="169"/>
    </row>
    <row r="7" spans="1:12" ht="12.95" customHeight="1">
      <c r="A7" s="145" t="s">
        <v>1239</v>
      </c>
      <c r="B7" t="s">
        <v>1240</v>
      </c>
      <c r="H7" s="169"/>
      <c r="I7" s="169"/>
      <c r="J7" s="169"/>
      <c r="K7" s="169"/>
    </row>
    <row r="8" spans="1:12" ht="12.95" customHeight="1">
      <c r="H8" s="169"/>
      <c r="I8" s="169"/>
      <c r="J8" s="169"/>
      <c r="K8" s="169"/>
    </row>
    <row r="9" spans="1:12" ht="12.95" customHeight="1">
      <c r="A9" s="145" t="s">
        <v>1241</v>
      </c>
      <c r="B9" s="145" t="s">
        <v>1242</v>
      </c>
      <c r="H9" s="169"/>
      <c r="I9" s="169"/>
      <c r="J9" s="169"/>
      <c r="K9" s="169"/>
    </row>
    <row r="10" spans="1:12" ht="12.95" customHeight="1">
      <c r="B10" s="145" t="s">
        <v>1243</v>
      </c>
      <c r="H10" s="169"/>
      <c r="I10" s="169"/>
      <c r="J10" s="169"/>
      <c r="K10" s="169"/>
    </row>
    <row r="11" spans="1:12" ht="12.95" customHeight="1">
      <c r="H11" s="169"/>
      <c r="I11" s="169"/>
      <c r="J11" s="169"/>
      <c r="K11" s="169"/>
    </row>
    <row r="12" spans="1:12" ht="12.95" customHeight="1">
      <c r="A12" s="145" t="s">
        <v>1244</v>
      </c>
      <c r="B12" s="145" t="s">
        <v>1245</v>
      </c>
      <c r="H12" s="169"/>
      <c r="I12" s="169"/>
      <c r="J12" s="169"/>
      <c r="K12" s="169"/>
    </row>
    <row r="13" spans="1:12" ht="12.95" customHeight="1">
      <c r="B13" s="145" t="s">
        <v>1243</v>
      </c>
      <c r="H13" s="169"/>
      <c r="I13" s="169"/>
      <c r="J13" s="169"/>
      <c r="K13" s="169"/>
    </row>
    <row r="14" spans="1:12" ht="12.95" customHeight="1">
      <c r="H14" s="169"/>
      <c r="I14" s="169"/>
      <c r="J14" s="169"/>
      <c r="K14" s="169"/>
    </row>
    <row r="15" spans="1:12" ht="12.95" customHeight="1">
      <c r="A15" s="145" t="s">
        <v>1246</v>
      </c>
      <c r="B15" s="145" t="s">
        <v>1247</v>
      </c>
      <c r="H15" s="169"/>
      <c r="I15" s="169"/>
      <c r="J15" s="169"/>
      <c r="K15" s="169"/>
    </row>
    <row r="16" spans="1:12" ht="12.95" customHeight="1">
      <c r="H16" s="169"/>
      <c r="I16" s="169"/>
      <c r="J16" s="169"/>
      <c r="K16" s="169"/>
    </row>
    <row r="17" spans="1:3">
      <c r="A17" s="145" t="s">
        <v>1248</v>
      </c>
      <c r="B17" t="s">
        <v>1249</v>
      </c>
    </row>
    <row r="18" spans="1:3">
      <c r="B18" s="145" t="s">
        <v>1250</v>
      </c>
    </row>
    <row r="20" spans="1:3">
      <c r="A20" s="145" t="s">
        <v>1251</v>
      </c>
      <c r="B20" t="s">
        <v>1252</v>
      </c>
    </row>
    <row r="22" spans="1:3">
      <c r="A22" s="145" t="s">
        <v>1253</v>
      </c>
      <c r="B22" t="s">
        <v>1254</v>
      </c>
    </row>
    <row r="24" spans="1:3">
      <c r="B24" s="166" t="s">
        <v>1255</v>
      </c>
      <c r="C24" s="145"/>
    </row>
    <row r="25" spans="1:3">
      <c r="B25" s="166" t="s">
        <v>1256</v>
      </c>
      <c r="C25" s="145"/>
    </row>
    <row r="27" spans="1:3">
      <c r="A27" t="s">
        <v>94</v>
      </c>
      <c r="B27" t="s">
        <v>1257</v>
      </c>
    </row>
    <row r="28" spans="1:3">
      <c r="B28" t="s">
        <v>1258</v>
      </c>
    </row>
    <row r="29" spans="1:3">
      <c r="B29" t="s">
        <v>1259</v>
      </c>
    </row>
    <row r="30" spans="1:3">
      <c r="B30" s="145" t="s">
        <v>1260</v>
      </c>
    </row>
    <row r="31" spans="1:3">
      <c r="B31" s="145" t="s">
        <v>1261</v>
      </c>
    </row>
    <row r="33" spans="1:2">
      <c r="A33" s="145" t="s">
        <v>1262</v>
      </c>
      <c r="B33" s="145" t="s">
        <v>1263</v>
      </c>
    </row>
    <row r="34" spans="1:2">
      <c r="A34" s="145"/>
      <c r="B34" s="145" t="s">
        <v>1264</v>
      </c>
    </row>
    <row r="35" spans="1:2">
      <c r="A35" s="145"/>
      <c r="B35" s="145" t="s">
        <v>1265</v>
      </c>
    </row>
    <row r="36" spans="1:2">
      <c r="A36" s="145"/>
      <c r="B36" s="145" t="s">
        <v>1266</v>
      </c>
    </row>
    <row r="37" spans="1:2">
      <c r="A37" s="145"/>
      <c r="B37" s="145" t="s">
        <v>1267</v>
      </c>
    </row>
    <row r="38" spans="1:2">
      <c r="A38" s="145"/>
      <c r="B38" s="145" t="s">
        <v>1268</v>
      </c>
    </row>
    <row r="39" spans="1:2">
      <c r="A39" s="145"/>
      <c r="B39" s="145" t="s">
        <v>1269</v>
      </c>
    </row>
    <row r="40" spans="1:2">
      <c r="A40" s="145"/>
      <c r="B40" s="145" t="s">
        <v>1270</v>
      </c>
    </row>
    <row r="42" spans="1:2">
      <c r="A42" t="s">
        <v>1271</v>
      </c>
      <c r="B42" s="145" t="s">
        <v>1272</v>
      </c>
    </row>
    <row r="43" spans="1:2">
      <c r="B43" t="s">
        <v>1273</v>
      </c>
    </row>
    <row r="44" spans="1:2">
      <c r="B44" t="s">
        <v>1274</v>
      </c>
    </row>
    <row r="45" spans="1:2">
      <c r="B45" t="s">
        <v>1275</v>
      </c>
    </row>
    <row r="46" spans="1:2">
      <c r="B46" s="145" t="s">
        <v>1276</v>
      </c>
    </row>
    <row r="50" spans="1:2">
      <c r="A50" s="145" t="s">
        <v>1277</v>
      </c>
      <c r="B50" s="145" t="s">
        <v>1278</v>
      </c>
    </row>
    <row r="51" spans="1:2">
      <c r="B51" s="145" t="s">
        <v>1279</v>
      </c>
    </row>
    <row r="52" spans="1:2">
      <c r="B52" s="145" t="s">
        <v>1280</v>
      </c>
    </row>
    <row r="54" spans="1:2">
      <c r="A54" s="145" t="s">
        <v>1281</v>
      </c>
      <c r="B54" s="145" t="s">
        <v>1282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N40"/>
  <sheetViews>
    <sheetView showGridLines="0" workbookViewId="0">
      <selection activeCell="K13" sqref="K13"/>
    </sheetView>
  </sheetViews>
  <sheetFormatPr defaultColWidth="9.140625" defaultRowHeight="15.75"/>
  <cols>
    <col min="1" max="1" width="4.140625" style="219" customWidth="1"/>
    <col min="2" max="2" width="6.7109375" style="219" customWidth="1"/>
    <col min="3" max="3" width="3.28515625" style="219" customWidth="1"/>
    <col min="4" max="4" width="6.85546875" style="219" customWidth="1"/>
    <col min="5" max="5" width="3.140625" style="219" customWidth="1"/>
    <col min="6" max="7" width="6" style="219" customWidth="1"/>
    <col min="8" max="8" width="6.140625" style="219" customWidth="1"/>
    <col min="9" max="9" width="34.28515625" style="219" customWidth="1"/>
    <col min="10" max="10" width="15.140625" style="220" customWidth="1"/>
    <col min="11" max="11" width="14.140625" style="220" customWidth="1"/>
    <col min="12" max="12" width="15.7109375" style="220" customWidth="1"/>
    <col min="13" max="14" width="18" style="220" customWidth="1"/>
    <col min="15" max="16384" width="9.140625" style="219"/>
  </cols>
  <sheetData>
    <row r="1" spans="1:14" ht="16.5">
      <c r="A1" s="232" t="s">
        <v>1283</v>
      </c>
    </row>
    <row r="2" spans="1:14" ht="16.5">
      <c r="A2" s="232" t="s">
        <v>1284</v>
      </c>
    </row>
    <row r="3" spans="1:14">
      <c r="A3" s="231" t="s">
        <v>1285</v>
      </c>
      <c r="C3" s="230"/>
      <c r="D3" s="230" t="s">
        <v>1286</v>
      </c>
    </row>
    <row r="4" spans="1:14">
      <c r="A4" s="231" t="s">
        <v>1287</v>
      </c>
      <c r="C4" s="230"/>
      <c r="D4" s="230" t="s">
        <v>1288</v>
      </c>
    </row>
    <row r="5" spans="1:14">
      <c r="A5" s="231" t="s">
        <v>1289</v>
      </c>
      <c r="C5" s="230"/>
      <c r="D5" s="230" t="s">
        <v>1290</v>
      </c>
    </row>
    <row r="6" spans="1:14">
      <c r="A6" s="231" t="s">
        <v>1291</v>
      </c>
      <c r="C6" s="230"/>
      <c r="D6" s="230" t="s">
        <v>1292</v>
      </c>
    </row>
    <row r="7" spans="1:14">
      <c r="I7" s="229" t="s">
        <v>1293</v>
      </c>
      <c r="J7" s="228">
        <f>SUBTOTAL(9,J9:J37)</f>
        <v>3850310</v>
      </c>
      <c r="K7" s="228">
        <f>SUBTOTAL(9,K9:K37)</f>
        <v>3772900</v>
      </c>
      <c r="L7" s="228">
        <f>SUBTOTAL(9,L9:L37)</f>
        <v>3733273.6300000004</v>
      </c>
      <c r="M7" s="228">
        <f>SUBTOTAL(9,M9:M37)</f>
        <v>0</v>
      </c>
      <c r="N7" s="228">
        <f>SUBTOTAL(9,N9:N37)</f>
        <v>39626.369999999988</v>
      </c>
    </row>
    <row r="8" spans="1:14" ht="30">
      <c r="A8" s="227" t="s">
        <v>1294</v>
      </c>
      <c r="B8" s="227" t="s">
        <v>1295</v>
      </c>
      <c r="C8" s="227"/>
      <c r="D8" s="227" t="s">
        <v>1296</v>
      </c>
      <c r="E8" s="227" t="s">
        <v>1297</v>
      </c>
      <c r="F8" s="227" t="s">
        <v>1298</v>
      </c>
      <c r="G8" s="227" t="s">
        <v>1299</v>
      </c>
      <c r="H8" s="227" t="s">
        <v>1300</v>
      </c>
      <c r="I8" s="227" t="s">
        <v>1301</v>
      </c>
      <c r="J8" s="226" t="s">
        <v>1302</v>
      </c>
      <c r="K8" s="226" t="s">
        <v>1303</v>
      </c>
      <c r="L8" s="226" t="s">
        <v>1304</v>
      </c>
      <c r="M8" s="226" t="s">
        <v>1305</v>
      </c>
      <c r="N8" s="226" t="s">
        <v>1306</v>
      </c>
    </row>
    <row r="9" spans="1:14">
      <c r="A9" s="225">
        <v>11</v>
      </c>
      <c r="B9" s="233" t="s">
        <v>1307</v>
      </c>
      <c r="C9" s="233" t="str">
        <f>LEFT(B9,1)</f>
        <v>A</v>
      </c>
      <c r="D9" s="223">
        <v>1000</v>
      </c>
      <c r="E9" s="224">
        <v>0</v>
      </c>
      <c r="F9" s="223">
        <v>6735</v>
      </c>
      <c r="G9" s="223">
        <v>0</v>
      </c>
      <c r="H9" s="223">
        <v>5510</v>
      </c>
      <c r="I9" s="222" t="s">
        <v>1308</v>
      </c>
      <c r="J9" s="221">
        <v>0</v>
      </c>
      <c r="K9" s="221">
        <v>0</v>
      </c>
      <c r="L9" s="221">
        <v>0</v>
      </c>
      <c r="M9" s="221">
        <v>0</v>
      </c>
      <c r="N9" s="221">
        <v>0</v>
      </c>
    </row>
    <row r="10" spans="1:14">
      <c r="A10" s="225">
        <v>11</v>
      </c>
      <c r="B10" s="233" t="s">
        <v>1309</v>
      </c>
      <c r="C10" s="233" t="str">
        <f t="shared" ref="C10:C37" si="0">LEFT(B10,1)</f>
        <v>A</v>
      </c>
      <c r="D10" s="223">
        <v>1000</v>
      </c>
      <c r="E10" s="224">
        <v>0</v>
      </c>
      <c r="F10" s="223">
        <v>6729</v>
      </c>
      <c r="G10" s="223">
        <v>993</v>
      </c>
      <c r="H10" s="223">
        <v>5520</v>
      </c>
      <c r="I10" s="222" t="s">
        <v>1310</v>
      </c>
      <c r="J10" s="221">
        <v>0</v>
      </c>
      <c r="K10" s="221">
        <v>0</v>
      </c>
      <c r="L10" s="221">
        <v>0</v>
      </c>
      <c r="M10" s="221">
        <v>0</v>
      </c>
      <c r="N10" s="221">
        <v>0</v>
      </c>
    </row>
    <row r="11" spans="1:14">
      <c r="A11" s="225">
        <v>11</v>
      </c>
      <c r="B11" s="233" t="s">
        <v>1311</v>
      </c>
      <c r="C11" s="233" t="str">
        <f t="shared" si="0"/>
        <v>A</v>
      </c>
      <c r="D11" s="223">
        <v>1000</v>
      </c>
      <c r="E11" s="224">
        <v>0</v>
      </c>
      <c r="F11" s="223">
        <v>6571</v>
      </c>
      <c r="G11" s="223">
        <v>551</v>
      </c>
      <c r="H11" s="223">
        <v>5510</v>
      </c>
      <c r="I11" s="222" t="s">
        <v>1308</v>
      </c>
      <c r="J11" s="221">
        <v>3520</v>
      </c>
      <c r="K11" s="221">
        <v>3520</v>
      </c>
      <c r="L11" s="221">
        <v>4887.8100000000004</v>
      </c>
      <c r="M11" s="221">
        <v>0</v>
      </c>
      <c r="N11" s="221">
        <v>-1367.81</v>
      </c>
    </row>
    <row r="12" spans="1:14">
      <c r="A12" s="225">
        <v>11</v>
      </c>
      <c r="B12" s="233" t="s">
        <v>1311</v>
      </c>
      <c r="C12" s="233" t="str">
        <f t="shared" si="0"/>
        <v>A</v>
      </c>
      <c r="D12" s="223">
        <v>1000</v>
      </c>
      <c r="E12" s="224">
        <v>0</v>
      </c>
      <c r="F12" s="223">
        <v>6571</v>
      </c>
      <c r="G12" s="223">
        <v>551</v>
      </c>
      <c r="H12" s="223">
        <v>5520</v>
      </c>
      <c r="I12" s="222" t="s">
        <v>1310</v>
      </c>
      <c r="J12" s="221">
        <v>47190</v>
      </c>
      <c r="K12" s="221">
        <v>47190</v>
      </c>
      <c r="L12" s="221">
        <v>55685.41</v>
      </c>
      <c r="M12" s="221">
        <v>0</v>
      </c>
      <c r="N12" s="221">
        <v>-8495.41</v>
      </c>
    </row>
    <row r="13" spans="1:14">
      <c r="A13" s="225">
        <v>11</v>
      </c>
      <c r="B13" s="233" t="s">
        <v>1311</v>
      </c>
      <c r="C13" s="233" t="str">
        <f t="shared" si="0"/>
        <v>A</v>
      </c>
      <c r="D13" s="223">
        <v>1000</v>
      </c>
      <c r="E13" s="224">
        <v>0</v>
      </c>
      <c r="F13" s="223">
        <v>6571</v>
      </c>
      <c r="G13" s="223">
        <v>551</v>
      </c>
      <c r="H13" s="223">
        <v>5530</v>
      </c>
      <c r="I13" s="222" t="s">
        <v>1312</v>
      </c>
      <c r="J13" s="221">
        <v>870</v>
      </c>
      <c r="K13" s="221">
        <v>870</v>
      </c>
      <c r="L13" s="221">
        <v>1221.99</v>
      </c>
      <c r="M13" s="221">
        <v>0</v>
      </c>
      <c r="N13" s="221">
        <v>-351.99</v>
      </c>
    </row>
    <row r="14" spans="1:14">
      <c r="A14" s="225">
        <v>11</v>
      </c>
      <c r="B14" s="233" t="s">
        <v>1311</v>
      </c>
      <c r="C14" s="233" t="str">
        <f t="shared" si="0"/>
        <v>A</v>
      </c>
      <c r="D14" s="223">
        <v>1000</v>
      </c>
      <c r="E14" s="224">
        <v>0</v>
      </c>
      <c r="F14" s="223">
        <v>6590</v>
      </c>
      <c r="G14" s="223">
        <v>699</v>
      </c>
      <c r="H14" s="223">
        <v>5520</v>
      </c>
      <c r="I14" s="222" t="s">
        <v>1310</v>
      </c>
      <c r="J14" s="221">
        <v>8880</v>
      </c>
      <c r="K14" s="221">
        <v>8880</v>
      </c>
      <c r="L14" s="221">
        <v>5982.11</v>
      </c>
      <c r="M14" s="221">
        <v>0</v>
      </c>
      <c r="N14" s="221">
        <v>2897.89</v>
      </c>
    </row>
    <row r="15" spans="1:14">
      <c r="A15" s="225">
        <v>11</v>
      </c>
      <c r="B15" s="233" t="s">
        <v>1311</v>
      </c>
      <c r="C15" s="233" t="str">
        <f t="shared" si="0"/>
        <v>A</v>
      </c>
      <c r="D15" s="223">
        <v>1000</v>
      </c>
      <c r="E15" s="224">
        <v>0</v>
      </c>
      <c r="F15" s="223">
        <v>6590</v>
      </c>
      <c r="G15" s="223">
        <v>699</v>
      </c>
      <c r="H15" s="223">
        <v>5530</v>
      </c>
      <c r="I15" s="222" t="s">
        <v>1312</v>
      </c>
      <c r="J15" s="221">
        <v>4130</v>
      </c>
      <c r="K15" s="221">
        <v>4130</v>
      </c>
      <c r="L15" s="221">
        <v>3161.05</v>
      </c>
      <c r="M15" s="221">
        <v>0</v>
      </c>
      <c r="N15" s="221">
        <v>968.95</v>
      </c>
    </row>
    <row r="16" spans="1:14">
      <c r="A16" s="225">
        <v>11</v>
      </c>
      <c r="B16" s="233" t="s">
        <v>1313</v>
      </c>
      <c r="C16" s="233" t="str">
        <f t="shared" si="0"/>
        <v>A</v>
      </c>
      <c r="D16" s="223">
        <v>1000</v>
      </c>
      <c r="E16" s="224">
        <v>0</v>
      </c>
      <c r="F16" s="223">
        <v>7012</v>
      </c>
      <c r="G16" s="223">
        <v>0</v>
      </c>
      <c r="H16" s="223">
        <v>5520</v>
      </c>
      <c r="I16" s="222" t="s">
        <v>1310</v>
      </c>
      <c r="J16" s="221">
        <v>0</v>
      </c>
      <c r="K16" s="221">
        <v>3586</v>
      </c>
      <c r="L16" s="221">
        <v>16643.41</v>
      </c>
      <c r="M16" s="221">
        <v>0</v>
      </c>
      <c r="N16" s="221">
        <v>-13057.41</v>
      </c>
    </row>
    <row r="17" spans="1:14">
      <c r="A17" s="225">
        <v>11</v>
      </c>
      <c r="B17" s="233" t="s">
        <v>1313</v>
      </c>
      <c r="C17" s="233" t="str">
        <f t="shared" si="0"/>
        <v>A</v>
      </c>
      <c r="D17" s="223">
        <v>1000</v>
      </c>
      <c r="E17" s="224">
        <v>0</v>
      </c>
      <c r="F17" s="223">
        <v>7012</v>
      </c>
      <c r="G17" s="223">
        <v>0</v>
      </c>
      <c r="H17" s="223">
        <v>5530</v>
      </c>
      <c r="I17" s="222" t="s">
        <v>1312</v>
      </c>
      <c r="J17" s="221">
        <v>0</v>
      </c>
      <c r="K17" s="221">
        <v>0</v>
      </c>
      <c r="L17" s="221">
        <v>5403.29</v>
      </c>
      <c r="M17" s="221">
        <v>0</v>
      </c>
      <c r="N17" s="221">
        <v>-5403.29</v>
      </c>
    </row>
    <row r="18" spans="1:14">
      <c r="A18" s="225">
        <v>11</v>
      </c>
      <c r="B18" s="233" t="s">
        <v>1314</v>
      </c>
      <c r="C18" s="233" t="str">
        <f t="shared" si="0"/>
        <v>D</v>
      </c>
      <c r="D18" s="223">
        <v>1000</v>
      </c>
      <c r="E18" s="224">
        <v>0</v>
      </c>
      <c r="F18" s="223">
        <v>6571</v>
      </c>
      <c r="G18" s="223">
        <v>0</v>
      </c>
      <c r="H18" s="223">
        <v>5510</v>
      </c>
      <c r="I18" s="222" t="s">
        <v>1308</v>
      </c>
      <c r="J18" s="221">
        <v>206840</v>
      </c>
      <c r="K18" s="221">
        <v>220904</v>
      </c>
      <c r="L18" s="221">
        <v>225693.5</v>
      </c>
      <c r="M18" s="221">
        <v>0</v>
      </c>
      <c r="N18" s="221">
        <v>-4789.5</v>
      </c>
    </row>
    <row r="19" spans="1:14">
      <c r="A19" s="225">
        <v>11</v>
      </c>
      <c r="B19" s="233" t="s">
        <v>1314</v>
      </c>
      <c r="C19" s="233" t="str">
        <f t="shared" si="0"/>
        <v>D</v>
      </c>
      <c r="D19" s="223">
        <v>1000</v>
      </c>
      <c r="E19" s="224">
        <v>0</v>
      </c>
      <c r="F19" s="223">
        <v>6571</v>
      </c>
      <c r="G19" s="223">
        <v>0</v>
      </c>
      <c r="H19" s="223">
        <v>5520</v>
      </c>
      <c r="I19" s="222" t="s">
        <v>1310</v>
      </c>
      <c r="J19" s="221">
        <v>1642730</v>
      </c>
      <c r="K19" s="221">
        <v>1642730</v>
      </c>
      <c r="L19" s="221">
        <v>1673971.85</v>
      </c>
      <c r="M19" s="221">
        <v>0</v>
      </c>
      <c r="N19" s="221">
        <v>-31241.85</v>
      </c>
    </row>
    <row r="20" spans="1:14">
      <c r="A20" s="225">
        <v>11</v>
      </c>
      <c r="B20" s="233" t="s">
        <v>1314</v>
      </c>
      <c r="C20" s="233" t="str">
        <f t="shared" si="0"/>
        <v>D</v>
      </c>
      <c r="D20" s="223">
        <v>1000</v>
      </c>
      <c r="E20" s="224">
        <v>0</v>
      </c>
      <c r="F20" s="223">
        <v>6571</v>
      </c>
      <c r="G20" s="223">
        <v>0</v>
      </c>
      <c r="H20" s="223">
        <v>5530</v>
      </c>
      <c r="I20" s="222" t="s">
        <v>1312</v>
      </c>
      <c r="J20" s="221">
        <v>362690</v>
      </c>
      <c r="K20" s="221">
        <v>257971</v>
      </c>
      <c r="L20" s="221">
        <v>256060.36</v>
      </c>
      <c r="M20" s="221">
        <v>0</v>
      </c>
      <c r="N20" s="221">
        <v>1910.64</v>
      </c>
    </row>
    <row r="21" spans="1:14">
      <c r="A21" s="225">
        <v>11</v>
      </c>
      <c r="B21" s="233" t="s">
        <v>1314</v>
      </c>
      <c r="C21" s="233" t="str">
        <f t="shared" si="0"/>
        <v>D</v>
      </c>
      <c r="D21" s="223">
        <v>1000</v>
      </c>
      <c r="E21" s="224">
        <v>0</v>
      </c>
      <c r="F21" s="223">
        <v>6571</v>
      </c>
      <c r="G21" s="223">
        <v>551</v>
      </c>
      <c r="H21" s="223">
        <v>5510</v>
      </c>
      <c r="I21" s="222" t="s">
        <v>1308</v>
      </c>
      <c r="J21" s="221">
        <v>18550</v>
      </c>
      <c r="K21" s="221">
        <v>23602</v>
      </c>
      <c r="L21" s="221">
        <v>25795.29</v>
      </c>
      <c r="M21" s="221">
        <v>0</v>
      </c>
      <c r="N21" s="221">
        <v>-2193.29</v>
      </c>
    </row>
    <row r="22" spans="1:14">
      <c r="A22" s="225">
        <v>11</v>
      </c>
      <c r="B22" s="233" t="s">
        <v>1314</v>
      </c>
      <c r="C22" s="233" t="str">
        <f t="shared" si="0"/>
        <v>D</v>
      </c>
      <c r="D22" s="223">
        <v>1000</v>
      </c>
      <c r="E22" s="224">
        <v>0</v>
      </c>
      <c r="F22" s="223">
        <v>6571</v>
      </c>
      <c r="G22" s="223">
        <v>551</v>
      </c>
      <c r="H22" s="223">
        <v>5520</v>
      </c>
      <c r="I22" s="222" t="s">
        <v>1310</v>
      </c>
      <c r="J22" s="221">
        <v>71970</v>
      </c>
      <c r="K22" s="221">
        <v>78104</v>
      </c>
      <c r="L22" s="221">
        <v>84934.31</v>
      </c>
      <c r="M22" s="221">
        <v>0</v>
      </c>
      <c r="N22" s="221">
        <v>-6830.31</v>
      </c>
    </row>
    <row r="23" spans="1:14">
      <c r="A23" s="225">
        <v>11</v>
      </c>
      <c r="B23" s="233" t="s">
        <v>1314</v>
      </c>
      <c r="C23" s="233" t="str">
        <f t="shared" si="0"/>
        <v>D</v>
      </c>
      <c r="D23" s="223">
        <v>1000</v>
      </c>
      <c r="E23" s="224">
        <v>0</v>
      </c>
      <c r="F23" s="223">
        <v>6571</v>
      </c>
      <c r="G23" s="223">
        <v>551</v>
      </c>
      <c r="H23" s="223">
        <v>5530</v>
      </c>
      <c r="I23" s="222" t="s">
        <v>1312</v>
      </c>
      <c r="J23" s="221">
        <v>4550</v>
      </c>
      <c r="K23" s="221">
        <v>5567</v>
      </c>
      <c r="L23" s="221">
        <v>6448.97</v>
      </c>
      <c r="M23" s="221">
        <v>0</v>
      </c>
      <c r="N23" s="221">
        <v>-881.97</v>
      </c>
    </row>
    <row r="24" spans="1:14">
      <c r="A24" s="225">
        <v>11</v>
      </c>
      <c r="B24" s="233" t="s">
        <v>1314</v>
      </c>
      <c r="C24" s="233" t="str">
        <f t="shared" si="0"/>
        <v>D</v>
      </c>
      <c r="D24" s="223">
        <v>1000</v>
      </c>
      <c r="E24" s="224">
        <v>0</v>
      </c>
      <c r="F24" s="223">
        <v>6571</v>
      </c>
      <c r="G24" s="223">
        <v>573</v>
      </c>
      <c r="H24" s="223">
        <v>5530</v>
      </c>
      <c r="I24" s="222" t="s">
        <v>1312</v>
      </c>
      <c r="J24" s="221">
        <v>0</v>
      </c>
      <c r="K24" s="221">
        <v>0</v>
      </c>
      <c r="L24" s="221">
        <v>0</v>
      </c>
      <c r="M24" s="221">
        <v>0</v>
      </c>
      <c r="N24" s="221">
        <v>0</v>
      </c>
    </row>
    <row r="25" spans="1:14">
      <c r="A25" s="225">
        <v>11</v>
      </c>
      <c r="B25" s="233" t="s">
        <v>1315</v>
      </c>
      <c r="C25" s="233" t="str">
        <f t="shared" si="0"/>
        <v>D</v>
      </c>
      <c r="D25" s="223">
        <v>1000</v>
      </c>
      <c r="E25" s="224">
        <v>0</v>
      </c>
      <c r="F25" s="223">
        <v>6828</v>
      </c>
      <c r="G25" s="223">
        <v>0</v>
      </c>
      <c r="H25" s="223">
        <v>5520</v>
      </c>
      <c r="I25" s="222" t="s">
        <v>1310</v>
      </c>
      <c r="J25" s="221">
        <v>0</v>
      </c>
      <c r="K25" s="221">
        <v>0</v>
      </c>
      <c r="L25" s="221">
        <v>65.010000000000005</v>
      </c>
      <c r="M25" s="221">
        <v>0</v>
      </c>
      <c r="N25" s="221">
        <v>-65.010000000000005</v>
      </c>
    </row>
    <row r="26" spans="1:14">
      <c r="A26" s="225">
        <v>11</v>
      </c>
      <c r="B26" s="233" t="s">
        <v>1316</v>
      </c>
      <c r="C26" s="233" t="str">
        <f t="shared" si="0"/>
        <v>E</v>
      </c>
      <c r="D26" s="223">
        <v>1000</v>
      </c>
      <c r="E26" s="224">
        <v>0</v>
      </c>
      <c r="F26" s="223">
        <v>6010</v>
      </c>
      <c r="G26" s="223">
        <v>4000</v>
      </c>
      <c r="H26" s="223">
        <v>5520</v>
      </c>
      <c r="I26" s="222" t="s">
        <v>1310</v>
      </c>
      <c r="J26" s="221">
        <v>0</v>
      </c>
      <c r="K26" s="221">
        <v>2456</v>
      </c>
      <c r="L26" s="221">
        <v>2015.21</v>
      </c>
      <c r="M26" s="221">
        <v>0</v>
      </c>
      <c r="N26" s="221">
        <v>440.79</v>
      </c>
    </row>
    <row r="27" spans="1:14">
      <c r="A27" s="225">
        <v>11</v>
      </c>
      <c r="B27" s="233" t="s">
        <v>1316</v>
      </c>
      <c r="C27" s="233" t="str">
        <f t="shared" si="0"/>
        <v>E</v>
      </c>
      <c r="D27" s="223">
        <v>1000</v>
      </c>
      <c r="E27" s="224">
        <v>0</v>
      </c>
      <c r="F27" s="223">
        <v>6713</v>
      </c>
      <c r="G27" s="223">
        <v>0</v>
      </c>
      <c r="H27" s="223">
        <v>5520</v>
      </c>
      <c r="I27" s="222" t="s">
        <v>1310</v>
      </c>
      <c r="J27" s="221">
        <v>0</v>
      </c>
      <c r="K27" s="221">
        <v>0</v>
      </c>
      <c r="L27" s="221">
        <v>911.2</v>
      </c>
      <c r="M27" s="221">
        <v>0</v>
      </c>
      <c r="N27" s="221">
        <v>-911.2</v>
      </c>
    </row>
    <row r="28" spans="1:14">
      <c r="A28" s="225">
        <v>11</v>
      </c>
      <c r="B28" s="233" t="s">
        <v>1317</v>
      </c>
      <c r="C28" s="233" t="str">
        <f t="shared" si="0"/>
        <v>E</v>
      </c>
      <c r="D28" s="223">
        <v>1000</v>
      </c>
      <c r="E28" s="224">
        <v>0</v>
      </c>
      <c r="F28" s="223">
        <v>6571</v>
      </c>
      <c r="G28" s="223">
        <v>0</v>
      </c>
      <c r="H28" s="223">
        <v>5510</v>
      </c>
      <c r="I28" s="222" t="s">
        <v>1308</v>
      </c>
      <c r="J28" s="221">
        <v>110600</v>
      </c>
      <c r="K28" s="221">
        <v>206638</v>
      </c>
      <c r="L28" s="221">
        <v>217864.99</v>
      </c>
      <c r="M28" s="221">
        <v>0</v>
      </c>
      <c r="N28" s="221">
        <v>-11226.99</v>
      </c>
    </row>
    <row r="29" spans="1:14">
      <c r="A29" s="225">
        <v>11</v>
      </c>
      <c r="B29" s="233" t="s">
        <v>1317</v>
      </c>
      <c r="C29" s="233" t="str">
        <f t="shared" si="0"/>
        <v>E</v>
      </c>
      <c r="D29" s="223">
        <v>1000</v>
      </c>
      <c r="E29" s="224">
        <v>0</v>
      </c>
      <c r="F29" s="223">
        <v>6571</v>
      </c>
      <c r="G29" s="223">
        <v>0</v>
      </c>
      <c r="H29" s="223">
        <v>5520</v>
      </c>
      <c r="I29" s="222" t="s">
        <v>1310</v>
      </c>
      <c r="J29" s="221">
        <v>602330</v>
      </c>
      <c r="K29" s="221">
        <v>506292</v>
      </c>
      <c r="L29" s="221">
        <v>435130.96</v>
      </c>
      <c r="M29" s="221">
        <v>0</v>
      </c>
      <c r="N29" s="221">
        <v>71161.039999999994</v>
      </c>
    </row>
    <row r="30" spans="1:14">
      <c r="A30" s="225">
        <v>11</v>
      </c>
      <c r="B30" s="233" t="s">
        <v>1317</v>
      </c>
      <c r="C30" s="233" t="str">
        <f t="shared" si="0"/>
        <v>E</v>
      </c>
      <c r="D30" s="223">
        <v>1000</v>
      </c>
      <c r="E30" s="224">
        <v>0</v>
      </c>
      <c r="F30" s="223">
        <v>6571</v>
      </c>
      <c r="G30" s="223">
        <v>0</v>
      </c>
      <c r="H30" s="223">
        <v>5530</v>
      </c>
      <c r="I30" s="222" t="s">
        <v>1312</v>
      </c>
      <c r="J30" s="221">
        <v>137320</v>
      </c>
      <c r="K30" s="221">
        <v>137320</v>
      </c>
      <c r="L30" s="221">
        <v>137575.49</v>
      </c>
      <c r="M30" s="221">
        <v>0</v>
      </c>
      <c r="N30" s="221">
        <v>-255.49</v>
      </c>
    </row>
    <row r="31" spans="1:14">
      <c r="A31" s="225">
        <v>11</v>
      </c>
      <c r="B31" s="233" t="s">
        <v>1317</v>
      </c>
      <c r="C31" s="233" t="str">
        <f t="shared" si="0"/>
        <v>E</v>
      </c>
      <c r="D31" s="223">
        <v>1000</v>
      </c>
      <c r="E31" s="224">
        <v>0</v>
      </c>
      <c r="F31" s="223">
        <v>7012</v>
      </c>
      <c r="G31" s="223">
        <v>0</v>
      </c>
      <c r="H31" s="223">
        <v>5520</v>
      </c>
      <c r="I31" s="222" t="s">
        <v>1310</v>
      </c>
      <c r="J31" s="221">
        <v>0</v>
      </c>
      <c r="K31" s="221">
        <v>0</v>
      </c>
      <c r="L31" s="221">
        <v>0</v>
      </c>
      <c r="M31" s="221">
        <v>0</v>
      </c>
      <c r="N31" s="221">
        <v>0</v>
      </c>
    </row>
    <row r="32" spans="1:14">
      <c r="A32" s="225">
        <v>11</v>
      </c>
      <c r="B32" s="233" t="s">
        <v>1318</v>
      </c>
      <c r="C32" s="233" t="str">
        <f t="shared" si="0"/>
        <v>F</v>
      </c>
      <c r="D32" s="223">
        <v>1000</v>
      </c>
      <c r="E32" s="224">
        <v>0</v>
      </c>
      <c r="F32" s="223">
        <v>6571</v>
      </c>
      <c r="G32" s="223">
        <v>0</v>
      </c>
      <c r="H32" s="223">
        <v>5510</v>
      </c>
      <c r="I32" s="222" t="s">
        <v>1308</v>
      </c>
      <c r="J32" s="221">
        <v>22270</v>
      </c>
      <c r="K32" s="221">
        <v>33080</v>
      </c>
      <c r="L32" s="221">
        <v>33079.53</v>
      </c>
      <c r="M32" s="221">
        <v>0</v>
      </c>
      <c r="N32" s="221">
        <v>0.47</v>
      </c>
    </row>
    <row r="33" spans="1:14">
      <c r="A33" s="225">
        <v>11</v>
      </c>
      <c r="B33" s="233" t="s">
        <v>1318</v>
      </c>
      <c r="C33" s="233" t="str">
        <f t="shared" si="0"/>
        <v>F</v>
      </c>
      <c r="D33" s="223">
        <v>1000</v>
      </c>
      <c r="E33" s="224">
        <v>0</v>
      </c>
      <c r="F33" s="223">
        <v>6571</v>
      </c>
      <c r="G33" s="223">
        <v>0</v>
      </c>
      <c r="H33" s="223">
        <v>5520</v>
      </c>
      <c r="I33" s="222" t="s">
        <v>1310</v>
      </c>
      <c r="J33" s="221">
        <v>495740</v>
      </c>
      <c r="K33" s="221">
        <v>484449</v>
      </c>
      <c r="L33" s="221">
        <v>437275.56</v>
      </c>
      <c r="M33" s="221">
        <v>0</v>
      </c>
      <c r="N33" s="221">
        <v>47173.440000000002</v>
      </c>
    </row>
    <row r="34" spans="1:14">
      <c r="A34" s="225">
        <v>11</v>
      </c>
      <c r="B34" s="233" t="s">
        <v>1318</v>
      </c>
      <c r="C34" s="233" t="str">
        <f t="shared" si="0"/>
        <v>F</v>
      </c>
      <c r="D34" s="223">
        <v>1000</v>
      </c>
      <c r="E34" s="224">
        <v>0</v>
      </c>
      <c r="F34" s="223">
        <v>6571</v>
      </c>
      <c r="G34" s="223">
        <v>0</v>
      </c>
      <c r="H34" s="223">
        <v>5530</v>
      </c>
      <c r="I34" s="222" t="s">
        <v>1312</v>
      </c>
      <c r="J34" s="221">
        <v>62360</v>
      </c>
      <c r="K34" s="221">
        <v>62360</v>
      </c>
      <c r="L34" s="221">
        <v>67219.570000000007</v>
      </c>
      <c r="M34" s="221">
        <v>0</v>
      </c>
      <c r="N34" s="221">
        <v>-4859.57</v>
      </c>
    </row>
    <row r="35" spans="1:14">
      <c r="A35" s="225">
        <v>11</v>
      </c>
      <c r="B35" s="233" t="s">
        <v>1318</v>
      </c>
      <c r="C35" s="233" t="str">
        <f t="shared" si="0"/>
        <v>F</v>
      </c>
      <c r="D35" s="223">
        <v>1000</v>
      </c>
      <c r="E35" s="224">
        <v>0</v>
      </c>
      <c r="F35" s="223">
        <v>6571</v>
      </c>
      <c r="G35" s="223">
        <v>573</v>
      </c>
      <c r="H35" s="223">
        <v>5510</v>
      </c>
      <c r="I35" s="222" t="s">
        <v>1308</v>
      </c>
      <c r="J35" s="221">
        <v>2590</v>
      </c>
      <c r="K35" s="221">
        <v>3571</v>
      </c>
      <c r="L35" s="221">
        <v>3570.09</v>
      </c>
      <c r="M35" s="221">
        <v>0</v>
      </c>
      <c r="N35" s="221">
        <v>0.91</v>
      </c>
    </row>
    <row r="36" spans="1:14">
      <c r="A36" s="225">
        <v>11</v>
      </c>
      <c r="B36" s="233" t="s">
        <v>1318</v>
      </c>
      <c r="C36" s="233" t="str">
        <f t="shared" si="0"/>
        <v>F</v>
      </c>
      <c r="D36" s="223">
        <v>1000</v>
      </c>
      <c r="E36" s="224">
        <v>0</v>
      </c>
      <c r="F36" s="223">
        <v>6571</v>
      </c>
      <c r="G36" s="223">
        <v>573</v>
      </c>
      <c r="H36" s="223">
        <v>5520</v>
      </c>
      <c r="I36" s="222" t="s">
        <v>1310</v>
      </c>
      <c r="J36" s="221">
        <v>28070</v>
      </c>
      <c r="K36" s="221">
        <v>28070</v>
      </c>
      <c r="L36" s="221">
        <v>25633.79</v>
      </c>
      <c r="M36" s="221">
        <v>0</v>
      </c>
      <c r="N36" s="221">
        <v>2436.21</v>
      </c>
    </row>
    <row r="37" spans="1:14">
      <c r="A37" s="225">
        <v>11</v>
      </c>
      <c r="B37" s="233" t="s">
        <v>1318</v>
      </c>
      <c r="C37" s="233" t="str">
        <f t="shared" si="0"/>
        <v>F</v>
      </c>
      <c r="D37" s="223">
        <v>1000</v>
      </c>
      <c r="E37" s="224">
        <v>0</v>
      </c>
      <c r="F37" s="223">
        <v>6571</v>
      </c>
      <c r="G37" s="223">
        <v>573</v>
      </c>
      <c r="H37" s="223">
        <v>5530</v>
      </c>
      <c r="I37" s="222" t="s">
        <v>1312</v>
      </c>
      <c r="J37" s="221">
        <v>17110</v>
      </c>
      <c r="K37" s="221">
        <v>11610</v>
      </c>
      <c r="L37" s="221">
        <v>7042.88</v>
      </c>
      <c r="M37" s="221">
        <v>0</v>
      </c>
      <c r="N37" s="221">
        <v>4567.12</v>
      </c>
    </row>
    <row r="38" spans="1:14">
      <c r="A38" s="225"/>
      <c r="B38" s="222"/>
      <c r="C38" s="222"/>
      <c r="D38" s="223"/>
      <c r="E38" s="224"/>
      <c r="F38" s="223"/>
      <c r="G38" s="223"/>
      <c r="H38" s="223"/>
      <c r="I38" s="222"/>
      <c r="J38" s="221"/>
      <c r="K38" s="221"/>
      <c r="L38" s="221"/>
      <c r="M38" s="221"/>
      <c r="N38" s="221"/>
    </row>
    <row r="39" spans="1:14">
      <c r="A39" s="225"/>
      <c r="B39" s="222"/>
      <c r="C39" s="222"/>
      <c r="D39" s="223"/>
      <c r="E39" s="224"/>
      <c r="F39" s="223"/>
      <c r="G39" s="223"/>
      <c r="H39" s="223"/>
      <c r="I39" s="222"/>
      <c r="J39" s="221"/>
      <c r="K39" s="221"/>
      <c r="L39" s="221"/>
      <c r="M39" s="221"/>
      <c r="N39" s="221"/>
    </row>
    <row r="40" spans="1:14">
      <c r="A40" s="225"/>
      <c r="B40" s="222"/>
      <c r="C40" s="222"/>
      <c r="D40" s="223"/>
      <c r="E40" s="224"/>
      <c r="F40" s="223"/>
      <c r="G40" s="223"/>
      <c r="H40" s="223"/>
      <c r="I40" s="222"/>
      <c r="J40" s="221"/>
      <c r="K40" s="221"/>
      <c r="L40" s="221"/>
      <c r="M40" s="221"/>
      <c r="N40" s="221"/>
    </row>
  </sheetData>
  <autoFilter ref="A8:N40" xr:uid="{00000000-0009-0000-0000-000011000000}"/>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E699"/>
  </sheetPr>
  <dimension ref="A1:E26"/>
  <sheetViews>
    <sheetView workbookViewId="0">
      <selection activeCell="B4" sqref="B4:D4"/>
    </sheetView>
  </sheetViews>
  <sheetFormatPr defaultColWidth="9.140625" defaultRowHeight="12.75"/>
  <cols>
    <col min="1" max="1" width="35.7109375" style="92" customWidth="1"/>
    <col min="2" max="4" width="17.28515625" style="92" customWidth="1"/>
    <col min="5" max="5" width="11.7109375" style="92" customWidth="1"/>
    <col min="6" max="16384" width="9.140625" style="92"/>
  </cols>
  <sheetData>
    <row r="1" spans="1:5" ht="21">
      <c r="A1" s="483" t="s">
        <v>17</v>
      </c>
      <c r="B1" s="483"/>
      <c r="C1" s="483"/>
      <c r="D1" s="483"/>
      <c r="E1" s="483"/>
    </row>
    <row r="2" spans="1:5" ht="21">
      <c r="A2" s="474"/>
      <c r="B2" s="474"/>
      <c r="C2" s="474"/>
      <c r="D2" s="474"/>
      <c r="E2" s="474"/>
    </row>
    <row r="3" spans="1:5" ht="16.5" thickBot="1">
      <c r="A3" s="240" t="s">
        <v>18</v>
      </c>
      <c r="B3" s="484" t="s">
        <v>19</v>
      </c>
      <c r="C3" s="484"/>
      <c r="D3" s="484"/>
      <c r="E3" s="241"/>
    </row>
    <row r="4" spans="1:5" ht="17.25" thickTop="1" thickBot="1">
      <c r="A4" s="242" t="s">
        <v>20</v>
      </c>
      <c r="B4" s="485"/>
      <c r="C4" s="486"/>
      <c r="D4" s="487"/>
      <c r="E4" s="241"/>
    </row>
    <row r="5" spans="1:5" ht="16.5" thickTop="1">
      <c r="A5" s="242"/>
      <c r="B5" s="243"/>
      <c r="C5" s="243"/>
      <c r="D5" s="244"/>
      <c r="E5" s="241"/>
    </row>
    <row r="6" spans="1:5" ht="15.75">
      <c r="A6" s="245"/>
      <c r="B6" s="245" t="s">
        <v>21</v>
      </c>
      <c r="C6" s="246" t="s">
        <v>22</v>
      </c>
      <c r="D6" s="246" t="s">
        <v>23</v>
      </c>
      <c r="E6" s="241"/>
    </row>
    <row r="7" spans="1:5" ht="15.95" customHeight="1">
      <c r="A7" s="247" t="s">
        <v>24</v>
      </c>
      <c r="B7" s="254">
        <f>'TCO Estimator'!H16</f>
        <v>0</v>
      </c>
      <c r="C7" s="254">
        <f>'TCO Estimator'!I16</f>
        <v>0</v>
      </c>
      <c r="D7" s="254">
        <f>'TCO Estimator'!J16</f>
        <v>0</v>
      </c>
      <c r="E7" s="241"/>
    </row>
    <row r="8" spans="1:5" ht="15.95" customHeight="1">
      <c r="A8" s="248"/>
      <c r="B8" s="249"/>
      <c r="C8" s="249"/>
      <c r="D8" s="249"/>
      <c r="E8" s="241"/>
    </row>
    <row r="9" spans="1:5" ht="15.95" customHeight="1">
      <c r="A9" s="248" t="s">
        <v>25</v>
      </c>
      <c r="B9" s="255">
        <f>'TCO Estimator'!G20</f>
        <v>0</v>
      </c>
      <c r="C9" s="255">
        <f>'TCO Estimator'!H20</f>
        <v>0</v>
      </c>
      <c r="D9" s="255">
        <f>'TCO Estimator'!I20</f>
        <v>0</v>
      </c>
      <c r="E9" s="241"/>
    </row>
    <row r="10" spans="1:5" ht="15.95" customHeight="1">
      <c r="A10" s="248"/>
      <c r="B10" s="249"/>
      <c r="C10" s="249"/>
      <c r="D10" s="249"/>
      <c r="E10" s="241"/>
    </row>
    <row r="11" spans="1:5" ht="15.95" customHeight="1">
      <c r="A11" s="250" t="s">
        <v>26</v>
      </c>
      <c r="B11" s="256">
        <f>'TCO Estimator'!G35</f>
        <v>0</v>
      </c>
      <c r="C11" s="256">
        <f>'TCO Estimator'!H35</f>
        <v>5000</v>
      </c>
      <c r="D11" s="256">
        <f>'TCO Estimator'!I35</f>
        <v>5000</v>
      </c>
      <c r="E11" s="241"/>
    </row>
    <row r="12" spans="1:5" ht="15.95" customHeight="1">
      <c r="A12" s="248"/>
      <c r="B12" s="249"/>
      <c r="C12" s="249"/>
      <c r="D12" s="249"/>
      <c r="E12" s="241"/>
    </row>
    <row r="13" spans="1:5" ht="15.95" customHeight="1">
      <c r="A13" s="248" t="s">
        <v>27</v>
      </c>
      <c r="B13" s="257">
        <f>'TCO Estimator'!G39</f>
        <v>3002</v>
      </c>
      <c r="C13" s="257">
        <f>'TCO Estimator'!H39</f>
        <v>960</v>
      </c>
      <c r="D13" s="257">
        <f>'TCO Estimator'!I39</f>
        <v>3962</v>
      </c>
      <c r="E13" s="241"/>
    </row>
    <row r="14" spans="1:5" ht="15.95" customHeight="1">
      <c r="A14" s="248"/>
      <c r="B14" s="249"/>
      <c r="C14" s="249"/>
      <c r="D14" s="249"/>
      <c r="E14" s="241"/>
    </row>
    <row r="15" spans="1:5" ht="15.95" customHeight="1">
      <c r="A15" s="247" t="s">
        <v>28</v>
      </c>
      <c r="B15" s="258">
        <f>'TCO Estimator'!G57</f>
        <v>0</v>
      </c>
      <c r="C15" s="258">
        <f>'TCO Estimator'!H57</f>
        <v>4461.4025639416113</v>
      </c>
      <c r="D15" s="258">
        <f>'TCO Estimator'!I57</f>
        <v>4461.4025639416113</v>
      </c>
      <c r="E15" s="241"/>
    </row>
    <row r="16" spans="1:5" ht="15.95" customHeight="1">
      <c r="A16" s="248"/>
      <c r="B16" s="249"/>
      <c r="C16" s="249"/>
      <c r="D16" s="249"/>
      <c r="E16" s="241"/>
    </row>
    <row r="17" spans="1:5" ht="15.95" customHeight="1">
      <c r="A17" s="242" t="s">
        <v>23</v>
      </c>
      <c r="B17" s="259">
        <f>SUM(B7:B15)</f>
        <v>3002</v>
      </c>
      <c r="C17" s="259">
        <f>SUM(C7:C15)</f>
        <v>10421.40256394161</v>
      </c>
      <c r="D17" s="259">
        <f>SUM(D7:D15)</f>
        <v>13423.40256394161</v>
      </c>
      <c r="E17" s="241"/>
    </row>
    <row r="18" spans="1:5" ht="15.75">
      <c r="A18" s="242"/>
      <c r="B18" s="244"/>
      <c r="C18" s="251"/>
      <c r="D18" s="251"/>
      <c r="E18" s="252"/>
    </row>
    <row r="19" spans="1:5" ht="15.75">
      <c r="A19" s="248"/>
      <c r="B19" s="243"/>
      <c r="C19" s="243"/>
      <c r="D19" s="244"/>
      <c r="E19" s="253"/>
    </row>
    <row r="20" spans="1:5" ht="15.75">
      <c r="A20" s="98"/>
      <c r="B20" s="99"/>
      <c r="C20" s="98"/>
      <c r="D20" s="98"/>
    </row>
    <row r="21" spans="1:5" hidden="1">
      <c r="A21" s="92" t="s">
        <v>29</v>
      </c>
      <c r="B21" s="93" t="e">
        <f>'TCO Estimator'!#REF!</f>
        <v>#REF!</v>
      </c>
    </row>
    <row r="22" spans="1:5" hidden="1">
      <c r="B22" s="93"/>
    </row>
    <row r="23" spans="1:5" hidden="1">
      <c r="A23" s="92" t="s">
        <v>30</v>
      </c>
      <c r="B23" s="93" t="e">
        <f>'TCO Estimator'!#REF!</f>
        <v>#REF!</v>
      </c>
    </row>
    <row r="24" spans="1:5" hidden="1">
      <c r="B24" s="93"/>
    </row>
    <row r="25" spans="1:5" hidden="1">
      <c r="A25" s="92" t="s">
        <v>31</v>
      </c>
      <c r="B25" s="94" t="e">
        <f>'TCO Estimator'!#REF!</f>
        <v>#REF!</v>
      </c>
    </row>
    <row r="26" spans="1:5" hidden="1">
      <c r="B26" s="93" t="e">
        <f>SUM(B21:B25)</f>
        <v>#REF!</v>
      </c>
      <c r="D26" s="95"/>
    </row>
  </sheetData>
  <sheetProtection algorithmName="SHA-512" hashValue="I2bYJfz2q1jV8OUKhPDh2OCPyUMTGMwgphgVOs+XQnsqYNcvKSH1qg/By2J4KsTi5/JzTGyipLRsiVdhLknGUQ==" saltValue="Fgo7tpysY1AbBVxx39JlBQ==" spinCount="100000" sheet="1" objects="1" scenarios="1"/>
  <mergeCells count="3">
    <mergeCell ref="A1:E1"/>
    <mergeCell ref="B3:D3"/>
    <mergeCell ref="B4:D4"/>
  </mergeCells>
  <phoneticPr fontId="2" type="noConversion"/>
  <printOptions horizontalCentered="1"/>
  <pageMargins left="0.25" right="0.25" top="0.75"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23"/>
  <sheetViews>
    <sheetView showZeros="0" tabSelected="1" topLeftCell="A37" zoomScale="96" zoomScaleNormal="96" workbookViewId="0">
      <selection activeCell="D61" sqref="D61"/>
    </sheetView>
  </sheetViews>
  <sheetFormatPr defaultColWidth="9.140625" defaultRowHeight="12.75"/>
  <cols>
    <col min="1" max="1" width="30.28515625" style="112" customWidth="1"/>
    <col min="2" max="2" width="21.28515625" style="112" customWidth="1"/>
    <col min="3" max="3" width="8.140625" style="112" customWidth="1"/>
    <col min="4" max="4" width="22.140625" style="112" customWidth="1"/>
    <col min="5" max="5" width="29.140625" style="115" customWidth="1"/>
    <col min="6" max="6" width="17.85546875" style="115" customWidth="1"/>
    <col min="7" max="7" width="12.28515625" style="113" customWidth="1"/>
    <col min="8" max="9" width="13.140625" style="114" customWidth="1"/>
    <col min="10" max="10" width="12.28515625" style="114" customWidth="1"/>
    <col min="11" max="16384" width="9.140625" style="101"/>
  </cols>
  <sheetData>
    <row r="1" spans="1:15" s="459" customFormat="1" ht="23.25">
      <c r="A1" s="505" t="s">
        <v>32</v>
      </c>
      <c r="B1" s="505"/>
      <c r="C1" s="505"/>
      <c r="D1" s="505"/>
      <c r="E1" s="505"/>
      <c r="F1" s="505"/>
      <c r="G1" s="505"/>
      <c r="H1" s="505"/>
      <c r="I1" s="505"/>
      <c r="J1" s="505"/>
    </row>
    <row r="2" spans="1:15" ht="9.9499999999999993" customHeight="1">
      <c r="A2" s="444"/>
      <c r="B2" s="444"/>
      <c r="C2" s="444"/>
      <c r="D2" s="444"/>
      <c r="E2" s="444"/>
      <c r="F2" s="444"/>
      <c r="G2" s="444"/>
      <c r="H2" s="444"/>
      <c r="I2" s="444"/>
      <c r="J2" s="444"/>
    </row>
    <row r="3" spans="1:15" ht="49.5" customHeight="1">
      <c r="A3" s="499" t="s">
        <v>24</v>
      </c>
      <c r="B3" s="500"/>
      <c r="C3" s="500"/>
      <c r="D3" s="517" t="s">
        <v>33</v>
      </c>
      <c r="E3" s="517"/>
      <c r="F3" s="517"/>
      <c r="G3" s="461" t="s">
        <v>34</v>
      </c>
      <c r="H3" s="461" t="s">
        <v>35</v>
      </c>
      <c r="I3" s="461" t="s">
        <v>36</v>
      </c>
      <c r="J3" s="462" t="s">
        <v>23</v>
      </c>
      <c r="L3" s="239"/>
      <c r="M3" s="239"/>
      <c r="N3" s="239"/>
      <c r="O3" s="239"/>
    </row>
    <row r="4" spans="1:15" s="103" customFormat="1" ht="15.95" customHeight="1">
      <c r="A4" s="498" t="s">
        <v>37</v>
      </c>
      <c r="B4" s="494"/>
      <c r="C4" s="494"/>
      <c r="D4" s="503"/>
      <c r="E4" s="503"/>
      <c r="F4" s="503"/>
      <c r="G4" s="261"/>
      <c r="H4" s="300" t="str">
        <f>IF(D4="","",(VLOOKUP(D4,'Administrator Job Titles'!$A$2:$G$162,3)))</f>
        <v/>
      </c>
      <c r="I4" s="300" t="str">
        <f>IF($H$4="","",ROUND(($H$4*'RATE SHEET'!$E$6)+'RATE SHEET'!$B$19,0))</f>
        <v/>
      </c>
      <c r="J4" s="463" t="str">
        <f>IF(D4="","",(H4+I4))</f>
        <v/>
      </c>
    </row>
    <row r="5" spans="1:15" s="103" customFormat="1" ht="15.95" customHeight="1">
      <c r="A5" s="498" t="s">
        <v>38</v>
      </c>
      <c r="B5" s="494"/>
      <c r="C5" s="494"/>
      <c r="D5" s="503"/>
      <c r="E5" s="503"/>
      <c r="F5" s="503"/>
      <c r="G5" s="261"/>
      <c r="H5" s="300" t="str">
        <f>IF(D5="","",(VLOOKUP(D5,'Administrator Job Titles'!$A$2:$G$162,3)))</f>
        <v/>
      </c>
      <c r="I5" s="300" t="str">
        <f>IF($H$5="","",ROUND(($H$5*'RATE SHEET'!$E$5)+'RATE SHEET'!$B$19,0))</f>
        <v/>
      </c>
      <c r="J5" s="463" t="str">
        <f>IF(D5="","",(H5+I5))</f>
        <v/>
      </c>
    </row>
    <row r="6" spans="1:15" s="103" customFormat="1" ht="15.95" customHeight="1">
      <c r="A6" s="498" t="s">
        <v>39</v>
      </c>
      <c r="B6" s="494"/>
      <c r="C6" s="494"/>
      <c r="D6" s="503"/>
      <c r="E6" s="503"/>
      <c r="F6" s="503"/>
      <c r="G6" s="261"/>
      <c r="H6" s="300" t="str">
        <f>IF(D6="","",(VLOOKUP(D6,'Classified Job Titles'!$A$2:$G$282,3)))</f>
        <v/>
      </c>
      <c r="I6" s="300" t="str">
        <f>IF($D$6="","",ROUND(($H$6*'RATE SHEET'!$E$5)+'RATE SHEET'!$B$19,0))</f>
        <v/>
      </c>
      <c r="J6" s="463" t="str">
        <f>IF(D6="","",(H6+I6))</f>
        <v/>
      </c>
    </row>
    <row r="7" spans="1:15" s="103" customFormat="1" ht="15.95" customHeight="1">
      <c r="A7" s="498" t="s">
        <v>40</v>
      </c>
      <c r="B7" s="494"/>
      <c r="C7" s="494"/>
      <c r="D7" s="503"/>
      <c r="E7" s="503"/>
      <c r="F7" s="503"/>
      <c r="G7" s="261"/>
      <c r="H7" s="300" t="str">
        <f>IF(D7="","",(VLOOKUP(D7,'Classified Job Titles'!$A$2:$G$282,3)))</f>
        <v/>
      </c>
      <c r="I7" s="300" t="str">
        <f>IF($D$7="","",ROUND(($H$7*'RATE SHEET'!$E$5)+'RATE SHEET'!$B$19,0))</f>
        <v/>
      </c>
      <c r="J7" s="463" t="str">
        <f>IF(D7="","",(H7+I7))</f>
        <v/>
      </c>
    </row>
    <row r="8" spans="1:15" s="103" customFormat="1" ht="15.95" customHeight="1">
      <c r="A8" s="464" t="s">
        <v>41</v>
      </c>
      <c r="B8" s="263" t="s">
        <v>42</v>
      </c>
      <c r="C8" s="453"/>
      <c r="D8" s="503"/>
      <c r="E8" s="503"/>
      <c r="F8" s="503"/>
      <c r="G8" s="261"/>
      <c r="H8" s="300" t="str">
        <f>IF($D8="","",VLOOKUP(D8,'Classified Job Titles'!$A$2:$G$282,3)*C8)</f>
        <v/>
      </c>
      <c r="I8" s="300" t="str">
        <f>IF($C$8="","",IF($C$8&gt;=0.5,IF($D8="","",(($H$8*'RATE SHEET'!$E$5)+('RATE SHEET'!$B$19*C8))),($H$8*'RATE SHEET'!$E$7)))</f>
        <v/>
      </c>
      <c r="J8" s="463" t="str">
        <f>IF(C8="","",(H8+I8))</f>
        <v/>
      </c>
    </row>
    <row r="9" spans="1:15" s="103" customFormat="1" ht="15.95" customHeight="1">
      <c r="A9" s="464" t="s">
        <v>43</v>
      </c>
      <c r="B9" s="263" t="s">
        <v>44</v>
      </c>
      <c r="C9" s="454">
        <v>0</v>
      </c>
      <c r="D9" s="509" t="str">
        <f>"All Full Time Faculty are Costed at H-6 ($"&amp;TEXT('TCP Full Time Fac'!$C$1,"##,###")&amp;")"</f>
        <v>All Full Time Faculty are Costed at H-6 ($111,474)</v>
      </c>
      <c r="E9" s="509"/>
      <c r="F9" s="509"/>
      <c r="G9" s="261"/>
      <c r="H9" s="300" t="str">
        <f>IF(OR(C9="",C9=0),"",C9*'TCP Full Time Fac'!C1)</f>
        <v/>
      </c>
      <c r="I9" s="300" t="str">
        <f>IF(OR($C$9=0,$C$9=""),"",(($H$9*'RATE SHEET'!$E$6)+('RATE SHEET'!$B$19*$C$9)))</f>
        <v/>
      </c>
      <c r="J9" s="463" t="str">
        <f>IF(C9=0,"",(H9+I9))</f>
        <v/>
      </c>
    </row>
    <row r="10" spans="1:15" s="103" customFormat="1" ht="15.95" customHeight="1">
      <c r="A10" s="464" t="s">
        <v>45</v>
      </c>
      <c r="B10" s="263" t="s">
        <v>44</v>
      </c>
      <c r="C10" s="454">
        <v>0</v>
      </c>
      <c r="D10" s="509" t="str">
        <f>"All Full Time Counselors/Librarians are Costed at H-6 ($"&amp;TEXT('TCP Full Time CounsLib'!$C$1,"##,###")&amp;")"</f>
        <v>All Full Time Counselors/Librarians are Costed at H-6 ($117,808)</v>
      </c>
      <c r="E10" s="509"/>
      <c r="F10" s="509"/>
      <c r="G10" s="261"/>
      <c r="H10" s="300" t="str">
        <f>IF(OR(C10="",C10=0),"",C10*'TCP Full Time CounsLib'!C1)</f>
        <v/>
      </c>
      <c r="I10" s="300" t="str">
        <f>IF(OR($C$10="",$C$10=0),"",($H$10*'RATE SHEET'!$E$6)+($C$10*'RATE SHEET'!$B$19))</f>
        <v/>
      </c>
      <c r="J10" s="463" t="str">
        <f>IF(H10="","",(H10+I10))</f>
        <v/>
      </c>
    </row>
    <row r="11" spans="1:15" s="103" customFormat="1" ht="36" customHeight="1">
      <c r="A11" s="465"/>
      <c r="B11" s="264"/>
      <c r="C11" s="265"/>
      <c r="D11" s="446" t="s">
        <v>46</v>
      </c>
      <c r="E11" s="460" t="s">
        <v>47</v>
      </c>
      <c r="F11" s="452" t="s">
        <v>48</v>
      </c>
      <c r="G11" s="266"/>
      <c r="H11" s="481"/>
      <c r="I11" s="481"/>
      <c r="J11" s="482"/>
    </row>
    <row r="12" spans="1:15" s="103" customFormat="1" ht="15.95" customHeight="1">
      <c r="A12" s="464" t="s">
        <v>49</v>
      </c>
      <c r="B12" s="263" t="s">
        <v>50</v>
      </c>
      <c r="C12" s="454"/>
      <c r="D12" s="476"/>
      <c r="E12" s="301" t="str">
        <f>IF(D12="","",(VLOOKUP(D12,'Short Term NonClassified Titles'!A1:B116,2)))</f>
        <v/>
      </c>
      <c r="F12" s="307" t="s">
        <v>51</v>
      </c>
      <c r="G12" s="300" t="str">
        <f>IF(AND($C$12&gt;0,$F$12="no"),ROUND($C$12*$E$12,0),"0")</f>
        <v>0</v>
      </c>
      <c r="H12" s="300" t="str">
        <f>IF(AND($C$12&gt;0,$F$12="Yes"),ROUND($C$12*$E$12,0),"0")</f>
        <v>0</v>
      </c>
      <c r="I12" s="300" t="str">
        <f>IF(D12="","",((G12+H12)*'RATE SHEET'!$E$7))</f>
        <v/>
      </c>
      <c r="J12" s="463" t="str">
        <f>IF(D12="","",(G12+H12+I12))</f>
        <v/>
      </c>
    </row>
    <row r="13" spans="1:15" s="103" customFormat="1" ht="15.95" customHeight="1">
      <c r="A13" s="464" t="s">
        <v>52</v>
      </c>
      <c r="B13" s="263" t="s">
        <v>50</v>
      </c>
      <c r="C13" s="454"/>
      <c r="D13" s="476"/>
      <c r="E13" s="439" t="str">
        <f>IF(D13="","",(VLOOKUP(D13,'Student Employment'!$A$4:$E$8,5,FALSE)))</f>
        <v/>
      </c>
      <c r="F13" s="307" t="s">
        <v>53</v>
      </c>
      <c r="G13" s="300" t="str">
        <f>IF(AND($C$13&gt;0,$F$13="no"),ROUND($C$13*$E$13,0),"0")</f>
        <v>0</v>
      </c>
      <c r="H13" s="300" t="str">
        <f>IF(AND($C$13&gt;0,$F$13="Yes"),ROUND($C$13*$E$13,0),"0")</f>
        <v>0</v>
      </c>
      <c r="I13" s="300" t="str">
        <f>IF($D$13="","",((G13+H13)*'RATE SHEET'!$E$8))</f>
        <v/>
      </c>
      <c r="J13" s="463" t="str">
        <f>IF(D13="","",(G13+H13+I13))</f>
        <v/>
      </c>
    </row>
    <row r="14" spans="1:15" s="103" customFormat="1" ht="15.95" customHeight="1">
      <c r="A14" s="464" t="s">
        <v>54</v>
      </c>
      <c r="B14" s="445" t="s">
        <v>55</v>
      </c>
      <c r="C14" s="454">
        <v>0</v>
      </c>
      <c r="D14" s="520" t="str">
        <f>"Associate Faculty Costed at $"&amp;TEXT('TCP Full Time Fac'!$C$15,"##,###.##")&amp;"/hr"</f>
        <v>Associate Faculty Costed at $99.31/hr</v>
      </c>
      <c r="E14" s="520"/>
      <c r="F14" s="307" t="s">
        <v>51</v>
      </c>
      <c r="G14" s="300">
        <f>IF($B$14="Enter FTE Load",IF($F$14="No",ROUND($C$14*'TCP Assoc Fac'!$C$16,0),"0"),IF($F$14="No",ROUND($C$14*'TCP Full Time Fac'!$C$15,0),"0"))</f>
        <v>0</v>
      </c>
      <c r="H14" s="300" t="str">
        <f>IF($B$14="Enter FTE Load",IF($F$14="Yes",ROUND($C$14*'TCP Assoc Fac'!$C$16,0),"0"),IF($F$14="Yes",ROUND($C$14*'TCP Full Time Fac'!$C$15,0),"0"))</f>
        <v>0</v>
      </c>
      <c r="I14" s="300">
        <f>IF($C$14="","",((G14+H14)*'RATE SHEET'!$E$6))</f>
        <v>0</v>
      </c>
      <c r="J14" s="463">
        <f>IF(C14="","",(G14+H14+I14))</f>
        <v>0</v>
      </c>
    </row>
    <row r="15" spans="1:15" s="103" customFormat="1" ht="15.95" customHeight="1">
      <c r="A15" s="466" t="s">
        <v>56</v>
      </c>
      <c r="B15" s="467" t="s">
        <v>55</v>
      </c>
      <c r="C15" s="468">
        <v>0</v>
      </c>
      <c r="D15" s="504" t="str">
        <f>"PT Counselor/Librarian Costed at $"&amp;TEXT('TCP Full Time Fac'!$C$15,"##,###.##")&amp;"/hr"</f>
        <v>PT Counselor/Librarian Costed at $99.31/hr</v>
      </c>
      <c r="E15" s="504"/>
      <c r="F15" s="469" t="s">
        <v>53</v>
      </c>
      <c r="G15" s="470" t="str">
        <f>IF($B$15="Enter FTE Load",IF($F$15="No",ROUND($C$15*'TCP Assoc Fac'!$C$16,0),"0"),IF($F$15="No",ROUND($C$15*'TCP Full Time Fac'!$C$15,0),"0"))</f>
        <v>0</v>
      </c>
      <c r="H15" s="470">
        <f>IF($B$15="Enter FTE Load",IF($F$15="Yes",ROUND($C$15*'TCP Assoc Fac'!$C$16,0),"0"),IF($F$15="Yes",ROUND($C$15*'TCP Full Time Fac'!$C$15,0),"0"))</f>
        <v>0</v>
      </c>
      <c r="I15" s="470">
        <f>IF($C$15="","",((G15+H15)*'RATE SHEET'!$E$6))</f>
        <v>0</v>
      </c>
      <c r="J15" s="471">
        <f>IF(C15="","",(G15+H15+I15))</f>
        <v>0</v>
      </c>
    </row>
    <row r="16" spans="1:15" s="103" customFormat="1" ht="21" customHeight="1">
      <c r="A16" s="514" t="s">
        <v>57</v>
      </c>
      <c r="B16" s="515"/>
      <c r="C16" s="515"/>
      <c r="D16" s="502"/>
      <c r="E16" s="502"/>
      <c r="F16" s="502"/>
      <c r="G16" s="472">
        <f>SUM(G4:G15)</f>
        <v>0</v>
      </c>
      <c r="H16" s="472">
        <f>SUM(H4:H15)</f>
        <v>0</v>
      </c>
      <c r="I16" s="472">
        <f>SUM(I4:I15)</f>
        <v>0</v>
      </c>
      <c r="J16" s="473">
        <f>SUM(J4:J15)</f>
        <v>0</v>
      </c>
    </row>
    <row r="17" spans="1:10" s="103" customFormat="1" ht="9" customHeight="1">
      <c r="A17" s="269"/>
      <c r="B17" s="270"/>
      <c r="C17" s="270"/>
      <c r="D17" s="271"/>
      <c r="E17" s="271"/>
      <c r="F17" s="271"/>
      <c r="G17" s="105"/>
      <c r="H17" s="272"/>
      <c r="I17" s="272"/>
      <c r="J17" s="272"/>
    </row>
    <row r="18" spans="1:10" s="103" customFormat="1" ht="33.950000000000003" customHeight="1">
      <c r="A18" s="274" t="s">
        <v>58</v>
      </c>
      <c r="B18" s="275"/>
      <c r="C18" s="276"/>
      <c r="D18" s="277"/>
      <c r="E18" s="277"/>
      <c r="F18" s="277"/>
      <c r="G18" s="278" t="s">
        <v>59</v>
      </c>
      <c r="H18" s="278" t="s">
        <v>22</v>
      </c>
      <c r="I18" s="278" t="s">
        <v>23</v>
      </c>
      <c r="J18" s="105"/>
    </row>
    <row r="19" spans="1:10" s="103" customFormat="1" ht="27" customHeight="1">
      <c r="A19" s="279" t="s">
        <v>60</v>
      </c>
      <c r="B19" s="280"/>
      <c r="C19" s="495" t="s">
        <v>61</v>
      </c>
      <c r="D19" s="496"/>
      <c r="E19" s="496"/>
      <c r="F19" s="497"/>
      <c r="G19" s="302" t="str">
        <f>IF($C$9&gt;0,(($C$9+$C$10)*'RATE SHEET'!$A$41),IF($C$10&gt;0,(($C$9+$C$10)*'RATE SHEET'!$A$41),""))</f>
        <v/>
      </c>
      <c r="H19" s="261"/>
      <c r="I19" s="303" t="str">
        <f>IF(G19="","",G19)</f>
        <v/>
      </c>
      <c r="J19" s="105"/>
    </row>
    <row r="20" spans="1:10" s="103" customFormat="1" ht="21" customHeight="1">
      <c r="A20" s="490" t="s">
        <v>62</v>
      </c>
      <c r="B20" s="491"/>
      <c r="C20" s="491"/>
      <c r="D20" s="492"/>
      <c r="E20" s="492"/>
      <c r="F20" s="492"/>
      <c r="G20" s="116">
        <f>SUM(G19)</f>
        <v>0</v>
      </c>
      <c r="H20" s="268"/>
      <c r="I20" s="117">
        <f>SUM(I19)</f>
        <v>0</v>
      </c>
      <c r="J20" s="105"/>
    </row>
    <row r="21" spans="1:10" s="103" customFormat="1" ht="9" customHeight="1">
      <c r="A21" s="269"/>
      <c r="B21" s="270"/>
      <c r="C21" s="281"/>
      <c r="D21" s="282"/>
      <c r="E21" s="282"/>
      <c r="F21" s="282"/>
      <c r="G21" s="273"/>
      <c r="H21" s="273"/>
      <c r="I21" s="273"/>
      <c r="J21" s="105"/>
    </row>
    <row r="22" spans="1:10" s="103" customFormat="1" ht="21" customHeight="1">
      <c r="A22" s="455" t="s">
        <v>63</v>
      </c>
      <c r="B22" s="456"/>
      <c r="C22" s="457"/>
      <c r="D22" s="458"/>
      <c r="E22" s="458"/>
      <c r="F22" s="283"/>
      <c r="G22" s="284"/>
      <c r="H22" s="284"/>
      <c r="I22" s="284"/>
      <c r="J22" s="105"/>
    </row>
    <row r="23" spans="1:10" s="103" customFormat="1" ht="37.5" customHeight="1">
      <c r="A23" s="285" t="s">
        <v>7</v>
      </c>
      <c r="B23" s="285"/>
      <c r="C23" s="286" t="s">
        <v>64</v>
      </c>
      <c r="D23" s="501" t="s">
        <v>65</v>
      </c>
      <c r="E23" s="501"/>
      <c r="F23" s="501"/>
      <c r="G23" s="287" t="s">
        <v>59</v>
      </c>
      <c r="H23" s="287" t="s">
        <v>22</v>
      </c>
      <c r="I23" s="287" t="s">
        <v>23</v>
      </c>
      <c r="J23" s="288"/>
    </row>
    <row r="24" spans="1:10" s="103" customFormat="1" ht="15.75">
      <c r="A24" s="289" t="s">
        <v>66</v>
      </c>
      <c r="B24" s="262"/>
      <c r="C24" s="308"/>
      <c r="D24" s="494"/>
      <c r="E24" s="494"/>
      <c r="F24" s="494"/>
      <c r="G24" s="96"/>
      <c r="H24" s="290"/>
      <c r="I24" s="303">
        <f>G24</f>
        <v>0</v>
      </c>
      <c r="J24" s="288"/>
    </row>
    <row r="25" spans="1:10" s="103" customFormat="1" ht="31.5">
      <c r="A25" s="289" t="s">
        <v>67</v>
      </c>
      <c r="B25" s="262"/>
      <c r="C25" s="308"/>
      <c r="D25" s="494"/>
      <c r="E25" s="494"/>
      <c r="F25" s="494"/>
      <c r="G25" s="96"/>
      <c r="H25" s="96"/>
      <c r="I25" s="303">
        <f>G25+H25</f>
        <v>0</v>
      </c>
      <c r="J25" s="288"/>
    </row>
    <row r="26" spans="1:10" s="103" customFormat="1" ht="15.75">
      <c r="A26" s="289" t="s">
        <v>68</v>
      </c>
      <c r="B26" s="262"/>
      <c r="C26" s="308"/>
      <c r="D26" s="494"/>
      <c r="E26" s="494"/>
      <c r="F26" s="494"/>
      <c r="G26" s="96"/>
      <c r="H26" s="290"/>
      <c r="I26" s="303">
        <f>G26</f>
        <v>0</v>
      </c>
      <c r="J26" s="288"/>
    </row>
    <row r="27" spans="1:10" s="103" customFormat="1" ht="15.75">
      <c r="A27" s="289" t="s">
        <v>69</v>
      </c>
      <c r="B27" s="262"/>
      <c r="C27" s="308"/>
      <c r="D27" s="494"/>
      <c r="E27" s="494"/>
      <c r="F27" s="494"/>
      <c r="G27" s="96"/>
      <c r="H27" s="290"/>
      <c r="I27" s="303">
        <f>G27</f>
        <v>0</v>
      </c>
      <c r="J27" s="288"/>
    </row>
    <row r="28" spans="1:10" s="103" customFormat="1" ht="15.75">
      <c r="A28" s="262" t="s">
        <v>70</v>
      </c>
      <c r="B28" s="262"/>
      <c r="C28" s="290"/>
      <c r="D28" s="494"/>
      <c r="E28" s="494"/>
      <c r="F28" s="494"/>
      <c r="G28" s="96"/>
      <c r="H28" s="290"/>
      <c r="I28" s="303">
        <f>G28+H28</f>
        <v>0</v>
      </c>
      <c r="J28" s="288"/>
    </row>
    <row r="29" spans="1:10" s="103" customFormat="1" ht="15" customHeight="1">
      <c r="A29" s="289" t="s">
        <v>71</v>
      </c>
      <c r="B29" s="262"/>
      <c r="C29" s="290"/>
      <c r="D29" s="494"/>
      <c r="E29" s="494"/>
      <c r="F29" s="494"/>
      <c r="G29" s="96"/>
      <c r="H29" s="290"/>
      <c r="I29" s="303">
        <f t="shared" ref="I29:I34" si="0">G29+H29</f>
        <v>0</v>
      </c>
      <c r="J29" s="288"/>
    </row>
    <row r="30" spans="1:10" s="103" customFormat="1" ht="15.75">
      <c r="A30" s="289" t="s">
        <v>72</v>
      </c>
      <c r="B30" s="262"/>
      <c r="C30" s="290"/>
      <c r="D30" s="494"/>
      <c r="E30" s="494"/>
      <c r="F30" s="494"/>
      <c r="G30" s="96"/>
      <c r="H30" s="290">
        <v>5000</v>
      </c>
      <c r="I30" s="303">
        <f t="shared" si="0"/>
        <v>5000</v>
      </c>
      <c r="J30" s="288"/>
    </row>
    <row r="31" spans="1:10" s="103" customFormat="1" ht="15.75">
      <c r="A31" s="289" t="s">
        <v>73</v>
      </c>
      <c r="B31" s="262"/>
      <c r="C31" s="290"/>
      <c r="D31" s="494"/>
      <c r="E31" s="494"/>
      <c r="F31" s="494"/>
      <c r="G31" s="96"/>
      <c r="H31" s="290"/>
      <c r="I31" s="303">
        <f t="shared" si="0"/>
        <v>0</v>
      </c>
      <c r="J31" s="288"/>
    </row>
    <row r="32" spans="1:10" s="103" customFormat="1" ht="15.75">
      <c r="A32" s="289" t="s">
        <v>74</v>
      </c>
      <c r="B32" s="262"/>
      <c r="C32" s="290"/>
      <c r="D32" s="494"/>
      <c r="E32" s="494"/>
      <c r="F32" s="494"/>
      <c r="G32" s="96"/>
      <c r="H32" s="290"/>
      <c r="I32" s="303">
        <f t="shared" si="0"/>
        <v>0</v>
      </c>
      <c r="J32" s="288"/>
    </row>
    <row r="33" spans="1:10" s="103" customFormat="1" ht="15.75">
      <c r="A33" s="289" t="s">
        <v>75</v>
      </c>
      <c r="B33" s="262"/>
      <c r="C33" s="290"/>
      <c r="D33" s="494"/>
      <c r="E33" s="494"/>
      <c r="F33" s="494"/>
      <c r="G33" s="96"/>
      <c r="H33" s="290"/>
      <c r="I33" s="303">
        <f t="shared" si="0"/>
        <v>0</v>
      </c>
      <c r="J33" s="288"/>
    </row>
    <row r="34" spans="1:10" s="103" customFormat="1" ht="15.75">
      <c r="A34" s="289" t="s">
        <v>76</v>
      </c>
      <c r="B34" s="262"/>
      <c r="C34" s="290"/>
      <c r="D34" s="494"/>
      <c r="E34" s="494"/>
      <c r="F34" s="494"/>
      <c r="G34" s="96"/>
      <c r="H34" s="290"/>
      <c r="I34" s="303">
        <f t="shared" si="0"/>
        <v>0</v>
      </c>
      <c r="J34" s="288"/>
    </row>
    <row r="35" spans="1:10" s="103" customFormat="1" ht="21.95" customHeight="1">
      <c r="A35" s="490" t="s">
        <v>77</v>
      </c>
      <c r="B35" s="491"/>
      <c r="C35" s="491"/>
      <c r="D35" s="492"/>
      <c r="E35" s="492"/>
      <c r="F35" s="492"/>
      <c r="G35" s="116">
        <f>SUM(G24:G34)</f>
        <v>0</v>
      </c>
      <c r="H35" s="116">
        <f>SUM(H24:H34)</f>
        <v>5000</v>
      </c>
      <c r="I35" s="117">
        <f>SUM(I24:I34)</f>
        <v>5000</v>
      </c>
      <c r="J35" s="288"/>
    </row>
    <row r="36" spans="1:10" s="103" customFormat="1" ht="9.9499999999999993" customHeight="1">
      <c r="A36" s="291"/>
      <c r="B36" s="292"/>
      <c r="C36" s="106"/>
      <c r="D36" s="477"/>
      <c r="E36" s="477"/>
      <c r="F36" s="477"/>
      <c r="G36" s="105"/>
      <c r="H36" s="266"/>
      <c r="I36" s="293"/>
      <c r="J36" s="288"/>
    </row>
    <row r="37" spans="1:10" s="103" customFormat="1" ht="32.25">
      <c r="A37" s="294" t="s">
        <v>27</v>
      </c>
      <c r="B37" s="295"/>
      <c r="C37" s="296" t="s">
        <v>64</v>
      </c>
      <c r="D37" s="516"/>
      <c r="E37" s="516"/>
      <c r="F37" s="516"/>
      <c r="G37" s="120"/>
      <c r="H37" s="120"/>
      <c r="I37" s="121"/>
      <c r="J37" s="288"/>
    </row>
    <row r="38" spans="1:10" s="103" customFormat="1" ht="24" customHeight="1">
      <c r="A38" s="279" t="s">
        <v>78</v>
      </c>
      <c r="B38" s="309"/>
      <c r="C38" s="308"/>
      <c r="D38" s="493" t="s">
        <v>79</v>
      </c>
      <c r="E38" s="493"/>
      <c r="F38" s="493"/>
      <c r="G38" s="304">
        <f>Technology!D8</f>
        <v>3002</v>
      </c>
      <c r="H38" s="304">
        <f>Technology!D21</f>
        <v>960</v>
      </c>
      <c r="I38" s="305">
        <f>G38+H38</f>
        <v>3962</v>
      </c>
      <c r="J38" s="288"/>
    </row>
    <row r="39" spans="1:10" s="103" customFormat="1" ht="24.95" customHeight="1">
      <c r="A39" s="490" t="s">
        <v>80</v>
      </c>
      <c r="B39" s="491"/>
      <c r="C39" s="491"/>
      <c r="D39" s="492"/>
      <c r="E39" s="492"/>
      <c r="F39" s="492"/>
      <c r="G39" s="116">
        <f>SUM(G38)</f>
        <v>3002</v>
      </c>
      <c r="H39" s="116">
        <f>SUM(H38)</f>
        <v>960</v>
      </c>
      <c r="I39" s="117">
        <f>SUM(I38)</f>
        <v>3962</v>
      </c>
      <c r="J39" s="288"/>
    </row>
    <row r="40" spans="1:10" s="103" customFormat="1" ht="11.45" customHeight="1">
      <c r="A40" s="511"/>
      <c r="B40" s="512"/>
      <c r="C40" s="512"/>
      <c r="D40" s="513"/>
      <c r="E40" s="513"/>
      <c r="F40" s="513"/>
      <c r="G40" s="105"/>
      <c r="H40" s="107"/>
      <c r="I40" s="293"/>
      <c r="J40" s="288"/>
    </row>
    <row r="41" spans="1:10" s="103" customFormat="1" ht="21.95" customHeight="1">
      <c r="A41" s="506" t="s">
        <v>81</v>
      </c>
      <c r="B41" s="507"/>
      <c r="C41" s="507"/>
      <c r="D41" s="507"/>
      <c r="E41" s="507"/>
      <c r="F41" s="507"/>
      <c r="G41" s="507"/>
      <c r="H41" s="507"/>
      <c r="I41" s="508"/>
      <c r="J41" s="288"/>
    </row>
    <row r="42" spans="1:10" s="103" customFormat="1" ht="37.5" customHeight="1">
      <c r="A42" s="510" t="s">
        <v>82</v>
      </c>
      <c r="B42" s="510"/>
      <c r="C42" s="510"/>
      <c r="D42" s="519" t="s">
        <v>65</v>
      </c>
      <c r="E42" s="519"/>
      <c r="F42" s="519"/>
      <c r="G42" s="297" t="s">
        <v>59</v>
      </c>
      <c r="H42" s="297" t="s">
        <v>22</v>
      </c>
      <c r="I42" s="297" t="s">
        <v>23</v>
      </c>
      <c r="J42" s="288"/>
    </row>
    <row r="43" spans="1:10" s="103" customFormat="1" ht="18.75">
      <c r="A43" s="488" t="s">
        <v>83</v>
      </c>
      <c r="B43" s="488"/>
      <c r="C43" s="488"/>
      <c r="D43" s="489"/>
      <c r="E43" s="489"/>
      <c r="F43" s="489"/>
      <c r="G43" s="96"/>
      <c r="H43" s="261"/>
      <c r="I43" s="303">
        <f>G43+H43</f>
        <v>0</v>
      </c>
      <c r="J43" s="288"/>
    </row>
    <row r="44" spans="1:10" s="103" customFormat="1" ht="18.75">
      <c r="A44" s="488" t="s">
        <v>84</v>
      </c>
      <c r="B44" s="488"/>
      <c r="C44" s="488"/>
      <c r="D44" s="489"/>
      <c r="E44" s="489"/>
      <c r="F44" s="489"/>
      <c r="G44" s="96"/>
      <c r="H44" s="261"/>
      <c r="I44" s="303">
        <f>G44+H44</f>
        <v>0</v>
      </c>
      <c r="J44" s="288"/>
    </row>
    <row r="45" spans="1:10" s="103" customFormat="1" ht="18.75">
      <c r="A45" s="488" t="s">
        <v>85</v>
      </c>
      <c r="B45" s="488"/>
      <c r="C45" s="488"/>
      <c r="D45" s="489"/>
      <c r="E45" s="489"/>
      <c r="F45" s="489"/>
      <c r="G45" s="96"/>
      <c r="H45" s="261"/>
      <c r="I45" s="303">
        <f>G45+H45</f>
        <v>0</v>
      </c>
      <c r="J45" s="288"/>
    </row>
    <row r="46" spans="1:10" s="103" customFormat="1" ht="18.75">
      <c r="A46" s="488" t="s">
        <v>86</v>
      </c>
      <c r="B46" s="488"/>
      <c r="C46" s="488"/>
      <c r="D46" s="489"/>
      <c r="E46" s="489"/>
      <c r="F46" s="489"/>
      <c r="G46" s="96"/>
      <c r="H46" s="261"/>
      <c r="I46" s="303">
        <f>G46+H46</f>
        <v>0</v>
      </c>
      <c r="J46" s="288"/>
    </row>
    <row r="47" spans="1:10" s="103" customFormat="1" ht="18.75">
      <c r="A47" s="490" t="s">
        <v>87</v>
      </c>
      <c r="B47" s="491"/>
      <c r="C47" s="491"/>
      <c r="D47" s="492"/>
      <c r="E47" s="492"/>
      <c r="F47" s="492"/>
      <c r="G47" s="118">
        <f>SUM(G43:G46)</f>
        <v>0</v>
      </c>
      <c r="H47" s="118">
        <f>SUM(H43:H46)</f>
        <v>0</v>
      </c>
      <c r="I47" s="119">
        <f>SUM(I43:I46)</f>
        <v>0</v>
      </c>
      <c r="J47" s="288"/>
    </row>
    <row r="48" spans="1:10" s="103" customFormat="1" ht="10.5" customHeight="1">
      <c r="A48" s="525"/>
      <c r="B48" s="526"/>
      <c r="C48" s="526"/>
      <c r="D48" s="513"/>
      <c r="E48" s="513"/>
      <c r="F48" s="513"/>
      <c r="G48" s="267"/>
      <c r="H48" s="267"/>
      <c r="I48" s="293"/>
      <c r="J48" s="288"/>
    </row>
    <row r="49" spans="1:10" s="103" customFormat="1" ht="18.75" customHeight="1">
      <c r="A49" s="521" t="s">
        <v>88</v>
      </c>
      <c r="B49" s="522"/>
      <c r="C49" s="522"/>
      <c r="D49" s="522"/>
      <c r="E49" s="522"/>
      <c r="F49" s="522"/>
      <c r="G49" s="122"/>
      <c r="H49" s="123"/>
      <c r="I49" s="298"/>
      <c r="J49" s="288"/>
    </row>
    <row r="50" spans="1:10" s="103" customFormat="1" ht="18.75">
      <c r="A50" s="488" t="s">
        <v>89</v>
      </c>
      <c r="B50" s="488"/>
      <c r="C50" s="488"/>
      <c r="D50" s="489"/>
      <c r="E50" s="489"/>
      <c r="F50" s="489"/>
      <c r="G50" s="96"/>
      <c r="H50" s="97"/>
      <c r="I50" s="303">
        <f t="shared" ref="I50:I55" si="1">G50+H50</f>
        <v>0</v>
      </c>
      <c r="J50" s="288"/>
    </row>
    <row r="51" spans="1:10" s="103" customFormat="1" ht="18.75">
      <c r="A51" s="488" t="s">
        <v>90</v>
      </c>
      <c r="B51" s="488"/>
      <c r="C51" s="488"/>
      <c r="D51" s="489"/>
      <c r="E51" s="489"/>
      <c r="F51" s="489"/>
      <c r="G51" s="96"/>
      <c r="H51" s="97"/>
      <c r="I51" s="303">
        <f t="shared" si="1"/>
        <v>0</v>
      </c>
      <c r="J51" s="288"/>
    </row>
    <row r="52" spans="1:10" s="103" customFormat="1" ht="18.75">
      <c r="A52" s="488" t="s">
        <v>91</v>
      </c>
      <c r="B52" s="488"/>
      <c r="C52" s="488"/>
      <c r="D52" s="489"/>
      <c r="E52" s="489"/>
      <c r="F52" s="489"/>
      <c r="G52" s="96"/>
      <c r="H52" s="97"/>
      <c r="I52" s="303">
        <f t="shared" si="1"/>
        <v>0</v>
      </c>
      <c r="J52" s="288"/>
    </row>
    <row r="53" spans="1:10" s="103" customFormat="1" ht="18.75">
      <c r="A53" s="494" t="s">
        <v>92</v>
      </c>
      <c r="B53" s="494"/>
      <c r="C53" s="494"/>
      <c r="D53" s="489"/>
      <c r="E53" s="489"/>
      <c r="F53" s="489"/>
      <c r="G53" s="96"/>
      <c r="H53" s="97"/>
      <c r="I53" s="303">
        <f t="shared" si="1"/>
        <v>0</v>
      </c>
      <c r="J53" s="288"/>
    </row>
    <row r="54" spans="1:10" s="103" customFormat="1" ht="18.75">
      <c r="A54" s="494" t="s">
        <v>93</v>
      </c>
      <c r="B54" s="494"/>
      <c r="C54" s="494"/>
      <c r="D54" s="489"/>
      <c r="E54" s="489"/>
      <c r="F54" s="489"/>
      <c r="G54" s="96"/>
      <c r="H54" s="97"/>
      <c r="I54" s="303">
        <f t="shared" si="1"/>
        <v>0</v>
      </c>
      <c r="J54" s="288"/>
    </row>
    <row r="55" spans="1:10" s="103" customFormat="1" ht="18.75">
      <c r="A55" s="488" t="s">
        <v>94</v>
      </c>
      <c r="B55" s="488"/>
      <c r="C55" s="488"/>
      <c r="D55" s="493" t="s">
        <v>95</v>
      </c>
      <c r="E55" s="493"/>
      <c r="F55" s="493"/>
      <c r="G55" s="261"/>
      <c r="H55" s="306">
        <f>Utilities!L23</f>
        <v>4461.4025639416113</v>
      </c>
      <c r="I55" s="306">
        <f t="shared" si="1"/>
        <v>4461.4025639416113</v>
      </c>
      <c r="J55" s="288"/>
    </row>
    <row r="56" spans="1:10" s="103" customFormat="1" ht="18.75">
      <c r="A56" s="490" t="s">
        <v>96</v>
      </c>
      <c r="B56" s="491"/>
      <c r="C56" s="491"/>
      <c r="D56" s="492"/>
      <c r="E56" s="492"/>
      <c r="F56" s="492"/>
      <c r="G56" s="118">
        <f>SUM(G50:G55)</f>
        <v>0</v>
      </c>
      <c r="H56" s="118">
        <f>SUM(H50:H55)</f>
        <v>4461.4025639416113</v>
      </c>
      <c r="I56" s="119">
        <f>SUM(I50:I55)</f>
        <v>4461.4025639416113</v>
      </c>
      <c r="J56" s="288"/>
    </row>
    <row r="57" spans="1:10" s="103" customFormat="1" ht="18.75">
      <c r="A57" s="523" t="s">
        <v>97</v>
      </c>
      <c r="B57" s="524"/>
      <c r="C57" s="524"/>
      <c r="D57" s="492"/>
      <c r="E57" s="492"/>
      <c r="F57" s="492"/>
      <c r="G57" s="116">
        <f>G47+G56</f>
        <v>0</v>
      </c>
      <c r="H57" s="116">
        <f>H47+H56</f>
        <v>4461.4025639416113</v>
      </c>
      <c r="I57" s="117">
        <f>I47+I56</f>
        <v>4461.4025639416113</v>
      </c>
      <c r="J57" s="299"/>
    </row>
    <row r="58" spans="1:10" s="103" customFormat="1" ht="18.75">
      <c r="A58" s="104"/>
      <c r="B58" s="104"/>
      <c r="C58" s="104"/>
      <c r="D58" s="260"/>
      <c r="E58" s="260"/>
      <c r="F58" s="260"/>
      <c r="G58" s="104"/>
      <c r="H58" s="108"/>
      <c r="I58" s="108"/>
      <c r="J58" s="109"/>
    </row>
    <row r="59" spans="1:10" s="103" customFormat="1" ht="18.75">
      <c r="A59" s="104"/>
      <c r="B59" s="104"/>
      <c r="C59" s="104"/>
      <c r="D59" s="260"/>
      <c r="E59" s="260"/>
      <c r="F59" s="260"/>
      <c r="G59" s="104"/>
      <c r="H59" s="108"/>
      <c r="I59" s="108"/>
      <c r="J59" s="109"/>
    </row>
    <row r="60" spans="1:10" s="103" customFormat="1" ht="18.75">
      <c r="A60" s="104"/>
      <c r="B60" s="104"/>
      <c r="C60" s="104"/>
      <c r="D60" s="260"/>
      <c r="E60" s="260"/>
      <c r="F60" s="260"/>
      <c r="G60" s="104"/>
      <c r="H60" s="108"/>
      <c r="I60" s="108"/>
      <c r="J60" s="109"/>
    </row>
    <row r="61" spans="1:10" s="103" customFormat="1" ht="18.75">
      <c r="A61" s="104"/>
      <c r="B61" s="104"/>
      <c r="C61" s="104"/>
      <c r="D61" s="260"/>
      <c r="E61" s="260"/>
      <c r="F61" s="260"/>
      <c r="G61" s="104"/>
      <c r="H61" s="108"/>
      <c r="I61" s="108"/>
      <c r="J61" s="109"/>
    </row>
    <row r="62" spans="1:10" s="103" customFormat="1" ht="18.75">
      <c r="A62" s="104"/>
      <c r="B62" s="104"/>
      <c r="C62" s="104"/>
      <c r="D62" s="260"/>
      <c r="E62" s="260"/>
      <c r="F62" s="260"/>
      <c r="G62" s="110"/>
      <c r="H62" s="111"/>
      <c r="I62" s="111"/>
      <c r="J62" s="111"/>
    </row>
    <row r="63" spans="1:10" ht="18.75">
      <c r="D63" s="260"/>
      <c r="E63" s="260"/>
      <c r="F63" s="260"/>
    </row>
    <row r="64" spans="1:10" ht="18.75">
      <c r="D64" s="260"/>
      <c r="E64" s="260"/>
      <c r="F64" s="260"/>
    </row>
    <row r="65" spans="4:6" ht="18.75">
      <c r="D65" s="260"/>
      <c r="E65" s="260"/>
      <c r="F65" s="260"/>
    </row>
    <row r="66" spans="4:6" ht="18.75">
      <c r="D66" s="260"/>
      <c r="E66" s="260"/>
      <c r="F66" s="260"/>
    </row>
    <row r="67" spans="4:6" ht="18.75">
      <c r="D67" s="260"/>
      <c r="E67" s="260"/>
      <c r="F67" s="260"/>
    </row>
    <row r="68" spans="4:6" ht="18.75">
      <c r="D68" s="260"/>
      <c r="E68" s="260"/>
      <c r="F68" s="260"/>
    </row>
    <row r="69" spans="4:6" ht="18.75">
      <c r="D69" s="260"/>
      <c r="E69" s="260"/>
      <c r="F69" s="260"/>
    </row>
    <row r="70" spans="4:6" ht="18.75">
      <c r="D70" s="260"/>
      <c r="E70" s="260"/>
      <c r="F70" s="260"/>
    </row>
    <row r="71" spans="4:6" ht="18.75">
      <c r="D71" s="260"/>
      <c r="E71" s="260"/>
      <c r="F71" s="260"/>
    </row>
    <row r="72" spans="4:6" ht="18.75">
      <c r="D72" s="260"/>
      <c r="E72" s="260"/>
      <c r="F72" s="260"/>
    </row>
    <row r="73" spans="4:6" ht="18.75">
      <c r="D73" s="260"/>
      <c r="E73" s="260"/>
      <c r="F73" s="260"/>
    </row>
    <row r="74" spans="4:6" ht="18.75">
      <c r="D74" s="260"/>
      <c r="E74" s="260"/>
      <c r="F74" s="260"/>
    </row>
    <row r="75" spans="4:6" ht="18.75">
      <c r="D75" s="260"/>
      <c r="E75" s="260"/>
      <c r="F75" s="260"/>
    </row>
    <row r="76" spans="4:6" ht="18.75">
      <c r="D76" s="518"/>
      <c r="E76" s="518"/>
      <c r="F76" s="475"/>
    </row>
    <row r="77" spans="4:6" ht="18.75">
      <c r="D77" s="518"/>
      <c r="E77" s="518"/>
      <c r="F77" s="475"/>
    </row>
    <row r="78" spans="4:6" ht="18.75">
      <c r="D78" s="518"/>
      <c r="E78" s="518"/>
      <c r="F78" s="475"/>
    </row>
    <row r="79" spans="4:6" ht="18.75">
      <c r="D79" s="518"/>
      <c r="E79" s="518"/>
      <c r="F79" s="475"/>
    </row>
    <row r="80" spans="4:6" ht="18.75">
      <c r="D80" s="518"/>
      <c r="E80" s="518"/>
      <c r="F80" s="475"/>
    </row>
    <row r="81" spans="4:6" ht="18.75">
      <c r="D81" s="518"/>
      <c r="E81" s="518"/>
      <c r="F81" s="475"/>
    </row>
    <row r="82" spans="4:6" ht="18.75">
      <c r="D82" s="518"/>
      <c r="E82" s="518"/>
      <c r="F82" s="475"/>
    </row>
    <row r="83" spans="4:6" ht="18.75">
      <c r="D83" s="518"/>
      <c r="E83" s="518"/>
      <c r="F83" s="475"/>
    </row>
    <row r="84" spans="4:6" ht="18.75">
      <c r="D84" s="518"/>
      <c r="E84" s="518"/>
      <c r="F84" s="475"/>
    </row>
    <row r="85" spans="4:6" ht="18.75">
      <c r="D85" s="518"/>
      <c r="E85" s="518"/>
      <c r="F85" s="475"/>
    </row>
    <row r="86" spans="4:6" ht="18.75">
      <c r="D86" s="518"/>
      <c r="E86" s="518"/>
      <c r="F86" s="475"/>
    </row>
    <row r="87" spans="4:6" ht="18.75">
      <c r="D87" s="518"/>
      <c r="E87" s="518"/>
      <c r="F87" s="475"/>
    </row>
    <row r="88" spans="4:6" ht="18.75">
      <c r="D88" s="518"/>
      <c r="E88" s="518"/>
      <c r="F88" s="475"/>
    </row>
    <row r="89" spans="4:6" ht="18.75">
      <c r="D89" s="518"/>
      <c r="E89" s="518"/>
      <c r="F89" s="475"/>
    </row>
    <row r="90" spans="4:6" ht="18.75">
      <c r="D90" s="518"/>
      <c r="E90" s="518"/>
      <c r="F90" s="475"/>
    </row>
    <row r="91" spans="4:6" ht="18.75">
      <c r="D91" s="518"/>
      <c r="E91" s="518"/>
      <c r="F91" s="475"/>
    </row>
    <row r="92" spans="4:6" ht="18.75">
      <c r="D92" s="518"/>
      <c r="E92" s="518"/>
      <c r="F92" s="475"/>
    </row>
    <row r="93" spans="4:6" ht="18.75">
      <c r="D93" s="518"/>
      <c r="E93" s="518"/>
      <c r="F93" s="475"/>
    </row>
    <row r="94" spans="4:6" ht="18.75">
      <c r="D94" s="518"/>
      <c r="E94" s="518"/>
      <c r="F94" s="475"/>
    </row>
    <row r="95" spans="4:6" ht="18.75">
      <c r="D95" s="518"/>
      <c r="E95" s="518"/>
      <c r="F95" s="475"/>
    </row>
    <row r="96" spans="4:6" ht="18.75">
      <c r="D96" s="518"/>
      <c r="E96" s="518"/>
      <c r="F96" s="475"/>
    </row>
    <row r="97" spans="4:6" ht="18.75">
      <c r="D97" s="518"/>
      <c r="E97" s="518"/>
      <c r="F97" s="475"/>
    </row>
    <row r="98" spans="4:6" ht="18.75">
      <c r="D98" s="518"/>
      <c r="E98" s="518"/>
      <c r="F98" s="475"/>
    </row>
    <row r="99" spans="4:6" ht="18.75">
      <c r="D99" s="518"/>
      <c r="E99" s="518"/>
      <c r="F99" s="475"/>
    </row>
    <row r="100" spans="4:6" ht="18.75">
      <c r="D100" s="518"/>
      <c r="E100" s="518"/>
      <c r="F100" s="475"/>
    </row>
    <row r="101" spans="4:6" ht="18.75">
      <c r="D101" s="518"/>
      <c r="E101" s="518"/>
      <c r="F101" s="475"/>
    </row>
    <row r="102" spans="4:6" ht="18.75">
      <c r="D102" s="518"/>
      <c r="E102" s="518"/>
      <c r="F102" s="475"/>
    </row>
    <row r="103" spans="4:6" ht="18.75">
      <c r="D103" s="518"/>
      <c r="E103" s="518"/>
      <c r="F103" s="475"/>
    </row>
    <row r="104" spans="4:6" ht="18.75">
      <c r="D104" s="518"/>
      <c r="E104" s="518"/>
      <c r="F104" s="475"/>
    </row>
    <row r="105" spans="4:6" ht="18.75">
      <c r="D105" s="518"/>
      <c r="E105" s="518"/>
      <c r="F105" s="475"/>
    </row>
    <row r="106" spans="4:6" ht="18.75">
      <c r="D106" s="518"/>
      <c r="E106" s="518"/>
      <c r="F106" s="475"/>
    </row>
    <row r="107" spans="4:6" ht="18.75">
      <c r="D107" s="518"/>
      <c r="E107" s="518"/>
      <c r="F107" s="475"/>
    </row>
    <row r="108" spans="4:6" ht="18.75">
      <c r="D108" s="518"/>
      <c r="E108" s="518"/>
      <c r="F108" s="475"/>
    </row>
    <row r="109" spans="4:6" ht="18.75">
      <c r="D109" s="518"/>
      <c r="E109" s="518"/>
      <c r="F109" s="475"/>
    </row>
    <row r="110" spans="4:6" ht="18.75">
      <c r="D110" s="518"/>
      <c r="E110" s="518"/>
      <c r="F110" s="475"/>
    </row>
    <row r="111" spans="4:6" ht="18.75">
      <c r="D111" s="518"/>
      <c r="E111" s="518"/>
      <c r="F111" s="475"/>
    </row>
    <row r="112" spans="4:6" ht="18.75">
      <c r="D112" s="518"/>
      <c r="E112" s="518"/>
      <c r="F112" s="475"/>
    </row>
    <row r="113" spans="4:6" ht="18.75">
      <c r="D113" s="518"/>
      <c r="E113" s="518"/>
      <c r="F113" s="475"/>
    </row>
    <row r="114" spans="4:6" ht="18.75">
      <c r="D114" s="518"/>
      <c r="E114" s="518"/>
      <c r="F114" s="475"/>
    </row>
    <row r="115" spans="4:6" ht="18.75">
      <c r="D115" s="518"/>
      <c r="E115" s="518"/>
      <c r="F115" s="475"/>
    </row>
    <row r="116" spans="4:6" ht="18.75">
      <c r="D116" s="518"/>
      <c r="E116" s="518"/>
      <c r="F116" s="475"/>
    </row>
    <row r="117" spans="4:6" ht="18.75">
      <c r="D117" s="518"/>
      <c r="E117" s="518"/>
      <c r="F117" s="475"/>
    </row>
    <row r="118" spans="4:6" ht="18.75">
      <c r="D118" s="518"/>
      <c r="E118" s="518"/>
      <c r="F118" s="475"/>
    </row>
    <row r="119" spans="4:6" ht="18.75">
      <c r="D119" s="518"/>
      <c r="E119" s="518"/>
      <c r="F119" s="475"/>
    </row>
    <row r="120" spans="4:6" ht="18.75">
      <c r="D120" s="518"/>
      <c r="E120" s="518"/>
      <c r="F120" s="475"/>
    </row>
    <row r="121" spans="4:6" ht="18.75">
      <c r="D121" s="518"/>
      <c r="E121" s="518"/>
      <c r="F121" s="475"/>
    </row>
    <row r="122" spans="4:6" ht="18.75">
      <c r="D122" s="518"/>
      <c r="E122" s="518"/>
      <c r="F122" s="475"/>
    </row>
    <row r="123" spans="4:6" ht="18.75">
      <c r="D123" s="518"/>
      <c r="E123" s="518"/>
      <c r="F123" s="475"/>
    </row>
  </sheetData>
  <sheetProtection algorithmName="SHA-512" hashValue="zpChB2dlxDzmpjCofZEch+xicPdwllKUzpuPeHVhphMKxH4Rj0haPs0w7LvOKyK42v1ECyiP4wDlBJfiTzAXwQ==" saltValue="cT1cKeklc/KXtx1uGcVfog==" spinCount="100000" sheet="1" objects="1" scenarios="1"/>
  <mergeCells count="121">
    <mergeCell ref="D85:E85"/>
    <mergeCell ref="A49:F49"/>
    <mergeCell ref="A57:C57"/>
    <mergeCell ref="A52:C52"/>
    <mergeCell ref="A53:C53"/>
    <mergeCell ref="A48:C48"/>
    <mergeCell ref="D50:F50"/>
    <mergeCell ref="D51:F51"/>
    <mergeCell ref="A51:C51"/>
    <mergeCell ref="A50:C50"/>
    <mergeCell ref="D84:E84"/>
    <mergeCell ref="D99:E99"/>
    <mergeCell ref="D97:E97"/>
    <mergeCell ref="D98:E98"/>
    <mergeCell ref="D57:F57"/>
    <mergeCell ref="D14:E14"/>
    <mergeCell ref="D48:F48"/>
    <mergeCell ref="D79:E79"/>
    <mergeCell ref="D80:E80"/>
    <mergeCell ref="D81:E81"/>
    <mergeCell ref="D46:F46"/>
    <mergeCell ref="D54:F54"/>
    <mergeCell ref="D76:E76"/>
    <mergeCell ref="D77:E77"/>
    <mergeCell ref="D78:E78"/>
    <mergeCell ref="D88:E88"/>
    <mergeCell ref="D89:E89"/>
    <mergeCell ref="D90:E90"/>
    <mergeCell ref="D91:E91"/>
    <mergeCell ref="D92:E92"/>
    <mergeCell ref="D93:E93"/>
    <mergeCell ref="D82:E82"/>
    <mergeCell ref="D83:E83"/>
    <mergeCell ref="D86:E86"/>
    <mergeCell ref="D87:E87"/>
    <mergeCell ref="D123:E123"/>
    <mergeCell ref="D112:E112"/>
    <mergeCell ref="D113:E113"/>
    <mergeCell ref="D114:E114"/>
    <mergeCell ref="D115:E115"/>
    <mergeCell ref="D116:E116"/>
    <mergeCell ref="D117:E117"/>
    <mergeCell ref="D118:E118"/>
    <mergeCell ref="D119:E119"/>
    <mergeCell ref="D120:E120"/>
    <mergeCell ref="D121:E121"/>
    <mergeCell ref="D122:E122"/>
    <mergeCell ref="D106:E106"/>
    <mergeCell ref="D107:E107"/>
    <mergeCell ref="D108:E108"/>
    <mergeCell ref="D109:E109"/>
    <mergeCell ref="D110:E110"/>
    <mergeCell ref="D111:E111"/>
    <mergeCell ref="D100:E100"/>
    <mergeCell ref="D25:F25"/>
    <mergeCell ref="D29:F29"/>
    <mergeCell ref="D28:F28"/>
    <mergeCell ref="D30:F30"/>
    <mergeCell ref="D31:F31"/>
    <mergeCell ref="D32:F32"/>
    <mergeCell ref="D27:F27"/>
    <mergeCell ref="D26:F26"/>
    <mergeCell ref="D42:F42"/>
    <mergeCell ref="D101:E101"/>
    <mergeCell ref="D102:E102"/>
    <mergeCell ref="D103:E103"/>
    <mergeCell ref="D104:E104"/>
    <mergeCell ref="D105:E105"/>
    <mergeCell ref="D94:E94"/>
    <mergeCell ref="D95:E95"/>
    <mergeCell ref="D96:E96"/>
    <mergeCell ref="A1:J1"/>
    <mergeCell ref="A41:I41"/>
    <mergeCell ref="A7:C7"/>
    <mergeCell ref="D4:F4"/>
    <mergeCell ref="D5:F5"/>
    <mergeCell ref="A47:C47"/>
    <mergeCell ref="A39:C39"/>
    <mergeCell ref="D8:F8"/>
    <mergeCell ref="D9:F9"/>
    <mergeCell ref="D10:F10"/>
    <mergeCell ref="A42:C42"/>
    <mergeCell ref="A46:C46"/>
    <mergeCell ref="A40:C40"/>
    <mergeCell ref="D38:F38"/>
    <mergeCell ref="D39:F39"/>
    <mergeCell ref="D40:F40"/>
    <mergeCell ref="A16:C16"/>
    <mergeCell ref="D33:F33"/>
    <mergeCell ref="D34:F34"/>
    <mergeCell ref="D37:F37"/>
    <mergeCell ref="D44:F44"/>
    <mergeCell ref="D45:F45"/>
    <mergeCell ref="A45:C45"/>
    <mergeCell ref="D3:F3"/>
    <mergeCell ref="D20:F20"/>
    <mergeCell ref="C19:F19"/>
    <mergeCell ref="A4:C4"/>
    <mergeCell ref="A3:C3"/>
    <mergeCell ref="D23:F23"/>
    <mergeCell ref="D16:F16"/>
    <mergeCell ref="D24:F24"/>
    <mergeCell ref="D7:F7"/>
    <mergeCell ref="A5:C5"/>
    <mergeCell ref="A6:C6"/>
    <mergeCell ref="D15:E15"/>
    <mergeCell ref="A20:C20"/>
    <mergeCell ref="D6:F6"/>
    <mergeCell ref="A44:C44"/>
    <mergeCell ref="D53:F53"/>
    <mergeCell ref="A35:C35"/>
    <mergeCell ref="D35:F35"/>
    <mergeCell ref="A55:C55"/>
    <mergeCell ref="A56:C56"/>
    <mergeCell ref="D55:F55"/>
    <mergeCell ref="D56:F56"/>
    <mergeCell ref="D43:F43"/>
    <mergeCell ref="A43:C43"/>
    <mergeCell ref="A54:C54"/>
    <mergeCell ref="D47:F47"/>
    <mergeCell ref="D52:F52"/>
  </mergeCells>
  <phoneticPr fontId="2" type="noConversion"/>
  <conditionalFormatting sqref="H62:I62 G24 J58:J61 G26:G27">
    <cfRule type="cellIs" dxfId="7" priority="12" stopIfTrue="1" operator="equal">
      <formula>"high"</formula>
    </cfRule>
    <cfRule type="cellIs" dxfId="6" priority="13" stopIfTrue="1" operator="equal">
      <formula>"low"</formula>
    </cfRule>
  </conditionalFormatting>
  <conditionalFormatting sqref="G19">
    <cfRule type="cellIs" dxfId="5" priority="6" stopIfTrue="1" operator="equal">
      <formula>"high"</formula>
    </cfRule>
    <cfRule type="cellIs" dxfId="4" priority="7" stopIfTrue="1" operator="equal">
      <formula>"low"</formula>
    </cfRule>
  </conditionalFormatting>
  <conditionalFormatting sqref="H14">
    <cfRule type="cellIs" dxfId="3" priority="4" operator="equal">
      <formula>0</formula>
    </cfRule>
    <cfRule type="cellIs" dxfId="2" priority="5" operator="equal">
      <formula>" - "</formula>
    </cfRule>
  </conditionalFormatting>
  <conditionalFormatting sqref="H15">
    <cfRule type="cellIs" dxfId="1" priority="3" operator="equal">
      <formula>0</formula>
    </cfRule>
  </conditionalFormatting>
  <conditionalFormatting sqref="G15">
    <cfRule type="cellIs" dxfId="0" priority="1" operator="equal">
      <formula>0</formula>
    </cfRule>
  </conditionalFormatting>
  <dataValidations xWindow="627" yWindow="423" count="9">
    <dataValidation allowBlank="1" showInputMessage="1" showErrorMessage="1" sqref="C12 C14:C15 C9:C10" xr:uid="{00000000-0002-0000-0200-000000000000}"/>
    <dataValidation allowBlank="1" showErrorMessage="1" sqref="C13 C8" xr:uid="{00000000-0002-0000-0200-000001000000}"/>
    <dataValidation type="list" showInputMessage="1" showErrorMessage="1" prompt="Select from dropdown." sqref="F12" xr:uid="{00000000-0002-0000-0200-000002000000}">
      <formula1>"  ,Yes, No"</formula1>
    </dataValidation>
    <dataValidation type="list" showInputMessage="1" showErrorMessage="1" sqref="F13" xr:uid="{00000000-0002-0000-0200-000003000000}">
      <formula1>"Yes, No"</formula1>
    </dataValidation>
    <dataValidation type="list" allowBlank="1" showInputMessage="1" showErrorMessage="1" sqref="F15" xr:uid="{00000000-0002-0000-0200-000004000000}">
      <formula1>"Yes, No"</formula1>
    </dataValidation>
    <dataValidation type="list" allowBlank="1" showInputMessage="1" showErrorMessage="1" promptTitle="Select from dropdown" sqref="B15" xr:uid="{00000000-0002-0000-0200-000005000000}">
      <formula1>"Enter Annual Hrs, Enter FTE Load"</formula1>
    </dataValidation>
    <dataValidation type="list" allowBlank="1" showInputMessage="1" showErrorMessage="1" sqref="B14" xr:uid="{00000000-0002-0000-0200-000006000000}">
      <formula1>"Enter Annual Hrs, Enter FTE Load"</formula1>
    </dataValidation>
    <dataValidation type="list" allowBlank="1" showInputMessage="1" showErrorMessage="1" sqref="F14" xr:uid="{00000000-0002-0000-0200-000007000000}">
      <formula1>" ,Yes, No"</formula1>
    </dataValidation>
    <dataValidation type="list" allowBlank="1" showInputMessage="1" showErrorMessage="1" prompt="Select from dropdown." sqref="D13" xr:uid="{00000000-0002-0000-0200-000008000000}">
      <formula1>StudentTitles</formula1>
    </dataValidation>
  </dataValidations>
  <pageMargins left="0.25" right="0.25" top="0.5" bottom="0.5" header="0.5" footer="0.5"/>
  <pageSetup scale="80" orientation="landscape" r:id="rId1"/>
  <headerFooter alignWithMargins="0"/>
  <ignoredErrors>
    <ignoredError sqref="J14" formula="1"/>
  </ignoredErrors>
  <legacyDrawing r:id="rId2"/>
  <extLst>
    <ext xmlns:x14="http://schemas.microsoft.com/office/spreadsheetml/2009/9/main" uri="{CCE6A557-97BC-4b89-ADB6-D9C93CAAB3DF}">
      <x14:dataValidations xmlns:xm="http://schemas.microsoft.com/office/excel/2006/main" xWindow="627" yWindow="423" count="4">
        <x14:dataValidation type="list" allowBlank="1" showInputMessage="1" showErrorMessage="1" prompt="Select from dropdown." xr:uid="{00000000-0002-0000-0200-000009000000}">
          <x14:formula1>
            <xm:f>'Short Term NonClassified Titles'!$A$1:$A$116</xm:f>
          </x14:formula1>
          <xm:sqref>D12</xm:sqref>
        </x14:dataValidation>
        <x14:dataValidation type="list" allowBlank="1" showInputMessage="1" showErrorMessage="1" prompt="Select from dropdown." xr:uid="{00000000-0002-0000-0200-00000A000000}">
          <x14:formula1>
            <xm:f>'Administrator Job Titles'!$A$2:$A$162</xm:f>
          </x14:formula1>
          <xm:sqref>D5:F5</xm:sqref>
        </x14:dataValidation>
        <x14:dataValidation type="list" allowBlank="1" showInputMessage="1" showErrorMessage="1" prompt="Select from dropdown." xr:uid="{00000000-0002-0000-0200-00000B000000}">
          <x14:formula1>
            <xm:f>'Classified Job Titles'!$A$2:$A$282</xm:f>
          </x14:formula1>
          <xm:sqref>D6:F8</xm:sqref>
        </x14:dataValidation>
        <x14:dataValidation type="list" allowBlank="1" showInputMessage="1" showErrorMessage="1" prompt="Select from dropdown." xr:uid="{00000000-0002-0000-0200-00000C000000}">
          <x14:formula1>
            <xm:f>'Administrator Job Titles'!$A$2:$A$163</xm:f>
          </x14:formula1>
          <xm:sqref>D4:F4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499984740745262"/>
    <pageSetUpPr fitToPage="1"/>
  </sheetPr>
  <dimension ref="A1:L162"/>
  <sheetViews>
    <sheetView workbookViewId="0">
      <selection activeCell="I3" sqref="I3"/>
    </sheetView>
  </sheetViews>
  <sheetFormatPr defaultRowHeight="12.75"/>
  <cols>
    <col min="1" max="1" width="63.7109375" bestFit="1" customWidth="1"/>
    <col min="3" max="3" width="10.28515625" bestFit="1" customWidth="1"/>
    <col min="4" max="4" width="12.85546875" bestFit="1" customWidth="1"/>
    <col min="6" max="6" width="14.28515625" bestFit="1" customWidth="1"/>
    <col min="7" max="7" width="12.85546875" bestFit="1" customWidth="1"/>
  </cols>
  <sheetData>
    <row r="1" spans="1:12" ht="25.5">
      <c r="A1" s="126" t="s">
        <v>98</v>
      </c>
      <c r="B1" s="127" t="s">
        <v>99</v>
      </c>
      <c r="C1" s="128" t="s">
        <v>100</v>
      </c>
      <c r="D1" s="128" t="s">
        <v>101</v>
      </c>
      <c r="E1" s="128" t="s">
        <v>102</v>
      </c>
      <c r="F1" s="128" t="s">
        <v>103</v>
      </c>
      <c r="G1" s="128" t="s">
        <v>104</v>
      </c>
      <c r="I1" s="154" t="s">
        <v>105</v>
      </c>
    </row>
    <row r="2" spans="1:12">
      <c r="A2" s="430" t="s">
        <v>106</v>
      </c>
      <c r="B2" s="431" t="s">
        <v>107</v>
      </c>
      <c r="C2" s="151">
        <v>111626</v>
      </c>
      <c r="D2" s="151">
        <v>117254</v>
      </c>
      <c r="E2" s="151">
        <v>123165</v>
      </c>
      <c r="F2" s="151">
        <v>129375</v>
      </c>
      <c r="G2" s="151">
        <v>135900</v>
      </c>
    </row>
    <row r="3" spans="1:12" ht="15" customHeight="1">
      <c r="A3" s="149" t="s">
        <v>108</v>
      </c>
      <c r="B3" s="150" t="s">
        <v>109</v>
      </c>
      <c r="C3" s="151">
        <v>97741</v>
      </c>
      <c r="D3" s="151">
        <v>102668</v>
      </c>
      <c r="E3" s="151">
        <v>107845</v>
      </c>
      <c r="F3" s="151">
        <v>113280</v>
      </c>
      <c r="G3" s="151">
        <v>118997</v>
      </c>
    </row>
    <row r="4" spans="1:12" ht="15" customHeight="1">
      <c r="A4" s="149" t="s">
        <v>110</v>
      </c>
      <c r="B4" s="150" t="s">
        <v>111</v>
      </c>
      <c r="C4" s="151">
        <v>69067</v>
      </c>
      <c r="D4" s="151">
        <v>72547</v>
      </c>
      <c r="E4" s="151">
        <v>76205</v>
      </c>
      <c r="F4" s="151">
        <v>80050</v>
      </c>
      <c r="G4" s="151">
        <v>84083</v>
      </c>
      <c r="I4" s="153"/>
      <c r="J4" s="153"/>
      <c r="K4" s="153"/>
      <c r="L4" s="153"/>
    </row>
    <row r="5" spans="1:12" ht="15" customHeight="1">
      <c r="A5" s="149" t="s">
        <v>112</v>
      </c>
      <c r="B5" s="150" t="s">
        <v>113</v>
      </c>
      <c r="C5" s="151">
        <v>101897</v>
      </c>
      <c r="D5" s="151">
        <v>107032</v>
      </c>
      <c r="E5" s="151">
        <v>112428</v>
      </c>
      <c r="F5" s="151">
        <v>118097</v>
      </c>
      <c r="G5" s="151">
        <v>124051</v>
      </c>
      <c r="I5" s="153"/>
      <c r="J5" s="153"/>
      <c r="K5" s="153"/>
      <c r="L5" s="153"/>
    </row>
    <row r="6" spans="1:12" ht="15" customHeight="1">
      <c r="A6" s="149" t="s">
        <v>114</v>
      </c>
      <c r="B6" s="150" t="s">
        <v>115</v>
      </c>
      <c r="C6" s="151">
        <v>87242</v>
      </c>
      <c r="D6" s="151">
        <v>91643</v>
      </c>
      <c r="E6" s="151">
        <v>96264</v>
      </c>
      <c r="F6" s="151">
        <v>101117</v>
      </c>
      <c r="G6" s="151">
        <v>106216</v>
      </c>
      <c r="I6" s="63"/>
    </row>
    <row r="7" spans="1:12" ht="15" customHeight="1">
      <c r="A7" s="149" t="s">
        <v>116</v>
      </c>
      <c r="B7" s="150" t="s">
        <v>117</v>
      </c>
      <c r="C7" s="151">
        <v>90413</v>
      </c>
      <c r="D7" s="151">
        <v>94974</v>
      </c>
      <c r="E7" s="151">
        <v>99764</v>
      </c>
      <c r="F7" s="151">
        <v>104792</v>
      </c>
      <c r="G7" s="151">
        <v>110077</v>
      </c>
      <c r="I7" s="63"/>
    </row>
    <row r="8" spans="1:12" ht="15" customHeight="1">
      <c r="A8" s="149" t="s">
        <v>118</v>
      </c>
      <c r="B8" s="150" t="s">
        <v>113</v>
      </c>
      <c r="C8" s="151">
        <v>101897</v>
      </c>
      <c r="D8" s="151">
        <v>107032</v>
      </c>
      <c r="E8" s="151">
        <v>112428</v>
      </c>
      <c r="F8" s="151">
        <v>118097</v>
      </c>
      <c r="G8" s="151">
        <v>124051</v>
      </c>
      <c r="I8" s="63"/>
    </row>
    <row r="9" spans="1:12" s="131" customFormat="1" ht="15" customHeight="1">
      <c r="A9" s="149" t="s">
        <v>119</v>
      </c>
      <c r="B9" s="150" t="s">
        <v>113</v>
      </c>
      <c r="C9" s="151">
        <v>101897</v>
      </c>
      <c r="D9" s="151">
        <v>107032</v>
      </c>
      <c r="E9" s="151">
        <v>112428</v>
      </c>
      <c r="F9" s="151">
        <v>118097</v>
      </c>
      <c r="G9" s="151">
        <v>124051</v>
      </c>
      <c r="H9"/>
      <c r="I9" s="63"/>
    </row>
    <row r="10" spans="1:12" ht="15" customHeight="1">
      <c r="A10" s="149" t="s">
        <v>120</v>
      </c>
      <c r="B10" s="150" t="s">
        <v>115</v>
      </c>
      <c r="C10" s="151">
        <v>87242</v>
      </c>
      <c r="D10" s="151">
        <v>91643</v>
      </c>
      <c r="E10" s="151">
        <v>96264</v>
      </c>
      <c r="F10" s="151">
        <v>101117</v>
      </c>
      <c r="G10" s="151">
        <v>106216</v>
      </c>
      <c r="I10" s="63"/>
    </row>
    <row r="11" spans="1:12" ht="15" customHeight="1">
      <c r="A11" s="149" t="s">
        <v>121</v>
      </c>
      <c r="B11" s="150" t="s">
        <v>122</v>
      </c>
      <c r="C11" s="151">
        <v>106598</v>
      </c>
      <c r="D11" s="151">
        <v>111971</v>
      </c>
      <c r="E11" s="151">
        <v>117617</v>
      </c>
      <c r="F11" s="151">
        <v>123550</v>
      </c>
      <c r="G11" s="151">
        <v>129778</v>
      </c>
      <c r="I11" s="63"/>
    </row>
    <row r="12" spans="1:12" ht="15" customHeight="1">
      <c r="A12" s="149" t="s">
        <v>123</v>
      </c>
      <c r="B12" s="150" t="s">
        <v>124</v>
      </c>
      <c r="C12" s="151">
        <v>93914</v>
      </c>
      <c r="D12" s="151">
        <v>98649</v>
      </c>
      <c r="E12" s="151">
        <v>103625</v>
      </c>
      <c r="F12" s="151">
        <v>108849</v>
      </c>
      <c r="G12" s="151">
        <v>114337</v>
      </c>
      <c r="I12" s="63"/>
    </row>
    <row r="13" spans="1:12" ht="15" customHeight="1">
      <c r="A13" s="149" t="s">
        <v>125</v>
      </c>
      <c r="B13" s="150" t="s">
        <v>115</v>
      </c>
      <c r="C13" s="151">
        <v>87242</v>
      </c>
      <c r="D13" s="151">
        <v>91643</v>
      </c>
      <c r="E13" s="151">
        <v>96264</v>
      </c>
      <c r="F13" s="151">
        <v>101117</v>
      </c>
      <c r="G13" s="151">
        <v>106216</v>
      </c>
      <c r="I13" s="63"/>
    </row>
    <row r="14" spans="1:12" ht="15" customHeight="1">
      <c r="A14" s="149" t="s">
        <v>126</v>
      </c>
      <c r="B14" s="150" t="s">
        <v>115</v>
      </c>
      <c r="C14" s="151">
        <v>87242</v>
      </c>
      <c r="D14" s="151">
        <v>91643</v>
      </c>
      <c r="E14" s="151">
        <v>96264</v>
      </c>
      <c r="F14" s="151">
        <v>101117</v>
      </c>
      <c r="G14" s="151">
        <v>106216</v>
      </c>
      <c r="I14" s="63"/>
    </row>
    <row r="15" spans="1:12" ht="15" customHeight="1">
      <c r="A15" s="149" t="s">
        <v>127</v>
      </c>
      <c r="B15" s="150" t="s">
        <v>128</v>
      </c>
      <c r="C15" s="151">
        <v>130490</v>
      </c>
      <c r="D15" s="151">
        <v>137072</v>
      </c>
      <c r="E15" s="151">
        <v>143980</v>
      </c>
      <c r="F15" s="151">
        <v>151240</v>
      </c>
      <c r="G15" s="151">
        <v>158870</v>
      </c>
      <c r="I15" s="63"/>
    </row>
    <row r="16" spans="1:12" ht="15" customHeight="1">
      <c r="A16" s="149" t="s">
        <v>129</v>
      </c>
      <c r="B16" s="150" t="s">
        <v>128</v>
      </c>
      <c r="C16" s="151">
        <v>130490</v>
      </c>
      <c r="D16" s="151">
        <v>137072</v>
      </c>
      <c r="E16" s="151">
        <v>143980</v>
      </c>
      <c r="F16" s="151">
        <v>151240</v>
      </c>
      <c r="G16" s="151">
        <v>158870</v>
      </c>
      <c r="I16" s="63"/>
    </row>
    <row r="17" spans="1:9" ht="15" customHeight="1">
      <c r="A17" s="149" t="s">
        <v>130</v>
      </c>
      <c r="B17" s="150" t="s">
        <v>128</v>
      </c>
      <c r="C17" s="151">
        <v>130490</v>
      </c>
      <c r="D17" s="151">
        <v>137072</v>
      </c>
      <c r="E17" s="151">
        <v>143980</v>
      </c>
      <c r="F17" s="151">
        <v>151240</v>
      </c>
      <c r="G17" s="151">
        <v>158870</v>
      </c>
      <c r="I17" s="63"/>
    </row>
    <row r="18" spans="1:9" s="131" customFormat="1" ht="15" customHeight="1">
      <c r="A18" s="149" t="s">
        <v>131</v>
      </c>
      <c r="B18" s="150" t="s">
        <v>128</v>
      </c>
      <c r="C18" s="151">
        <v>130490</v>
      </c>
      <c r="D18" s="151">
        <v>137072</v>
      </c>
      <c r="E18" s="151">
        <v>143980</v>
      </c>
      <c r="F18" s="151">
        <v>151240</v>
      </c>
      <c r="G18" s="151">
        <v>158870</v>
      </c>
      <c r="H18"/>
      <c r="I18" s="63"/>
    </row>
    <row r="19" spans="1:9" ht="15" customHeight="1">
      <c r="A19" s="149" t="s">
        <v>132</v>
      </c>
      <c r="B19" s="150" t="s">
        <v>128</v>
      </c>
      <c r="C19" s="151">
        <v>130490</v>
      </c>
      <c r="D19" s="151">
        <v>137072</v>
      </c>
      <c r="E19" s="151">
        <v>143980</v>
      </c>
      <c r="F19" s="151">
        <v>151240</v>
      </c>
      <c r="G19" s="151">
        <v>158870</v>
      </c>
      <c r="I19" s="63"/>
    </row>
    <row r="20" spans="1:9" ht="15" customHeight="1">
      <c r="A20" s="149" t="s">
        <v>133</v>
      </c>
      <c r="B20" s="150" t="s">
        <v>128</v>
      </c>
      <c r="C20" s="151">
        <v>130490</v>
      </c>
      <c r="D20" s="151">
        <v>137072</v>
      </c>
      <c r="E20" s="151">
        <v>143980</v>
      </c>
      <c r="F20" s="151">
        <v>151240</v>
      </c>
      <c r="G20" s="151">
        <v>158870</v>
      </c>
      <c r="I20" s="63"/>
    </row>
    <row r="21" spans="1:9" ht="15" customHeight="1">
      <c r="A21" s="149" t="s">
        <v>134</v>
      </c>
      <c r="B21" s="150" t="s">
        <v>135</v>
      </c>
      <c r="C21" s="151">
        <v>144105</v>
      </c>
      <c r="D21" s="151">
        <v>151370</v>
      </c>
      <c r="E21" s="151">
        <v>159003</v>
      </c>
      <c r="F21" s="151">
        <v>167021</v>
      </c>
      <c r="G21" s="151">
        <v>175442</v>
      </c>
      <c r="I21" s="63"/>
    </row>
    <row r="22" spans="1:9" ht="15" customHeight="1">
      <c r="A22" s="149" t="s">
        <v>136</v>
      </c>
      <c r="B22" s="150" t="s">
        <v>137</v>
      </c>
      <c r="C22" s="151">
        <v>163498</v>
      </c>
      <c r="D22" s="151">
        <v>171743</v>
      </c>
      <c r="E22" s="151">
        <v>180403</v>
      </c>
      <c r="F22" s="151">
        <v>189497</v>
      </c>
      <c r="G22" s="151">
        <v>199054</v>
      </c>
      <c r="I22" s="63"/>
    </row>
    <row r="23" spans="1:9" ht="15" customHeight="1">
      <c r="A23" s="149" t="s">
        <v>138</v>
      </c>
      <c r="B23" s="150" t="s">
        <v>137</v>
      </c>
      <c r="C23" s="151">
        <v>163498</v>
      </c>
      <c r="D23" s="151">
        <v>171743</v>
      </c>
      <c r="E23" s="151">
        <v>180403</v>
      </c>
      <c r="F23" s="151">
        <v>189497</v>
      </c>
      <c r="G23" s="151">
        <v>199054</v>
      </c>
      <c r="I23" s="63"/>
    </row>
    <row r="24" spans="1:9" ht="15" customHeight="1">
      <c r="A24" s="149" t="s">
        <v>139</v>
      </c>
      <c r="B24" s="150" t="s">
        <v>137</v>
      </c>
      <c r="C24" s="151">
        <v>163498</v>
      </c>
      <c r="D24" s="151">
        <v>171743</v>
      </c>
      <c r="E24" s="151">
        <v>180403</v>
      </c>
      <c r="F24" s="151">
        <v>189497</v>
      </c>
      <c r="G24" s="151">
        <v>199054</v>
      </c>
      <c r="I24" s="63"/>
    </row>
    <row r="25" spans="1:9" ht="15" customHeight="1">
      <c r="A25" s="149" t="s">
        <v>140</v>
      </c>
      <c r="B25" s="150" t="s">
        <v>137</v>
      </c>
      <c r="C25" s="151">
        <v>163498</v>
      </c>
      <c r="D25" s="151">
        <v>171743</v>
      </c>
      <c r="E25" s="151">
        <v>180403</v>
      </c>
      <c r="F25" s="151">
        <v>189497</v>
      </c>
      <c r="G25" s="151">
        <v>199054</v>
      </c>
      <c r="I25" s="63"/>
    </row>
    <row r="26" spans="1:9" ht="15" customHeight="1">
      <c r="A26" s="149" t="s">
        <v>141</v>
      </c>
      <c r="B26" s="150" t="s">
        <v>137</v>
      </c>
      <c r="C26" s="151">
        <v>163498</v>
      </c>
      <c r="D26" s="151">
        <v>171743</v>
      </c>
      <c r="E26" s="151">
        <v>180403</v>
      </c>
      <c r="F26" s="151">
        <v>189497</v>
      </c>
      <c r="G26" s="151">
        <v>199054</v>
      </c>
      <c r="I26" s="63"/>
    </row>
    <row r="27" spans="1:9" ht="15" customHeight="1">
      <c r="A27" s="149" t="s">
        <v>142</v>
      </c>
      <c r="B27" s="150" t="s">
        <v>143</v>
      </c>
      <c r="C27" s="151">
        <v>152860</v>
      </c>
      <c r="D27" s="151">
        <v>160566</v>
      </c>
      <c r="E27" s="151">
        <v>168664</v>
      </c>
      <c r="F27" s="151">
        <v>177166</v>
      </c>
      <c r="G27" s="151">
        <v>186098</v>
      </c>
      <c r="I27" s="63"/>
    </row>
    <row r="28" spans="1:9" s="131" customFormat="1" ht="15" customHeight="1">
      <c r="A28" s="149" t="s">
        <v>144</v>
      </c>
      <c r="B28" s="150" t="s">
        <v>145</v>
      </c>
      <c r="C28" s="151">
        <v>72701</v>
      </c>
      <c r="D28" s="151">
        <v>76367</v>
      </c>
      <c r="E28" s="151">
        <v>80218</v>
      </c>
      <c r="F28" s="151">
        <v>84261</v>
      </c>
      <c r="G28" s="151">
        <v>88510</v>
      </c>
      <c r="H28"/>
      <c r="I28" s="63"/>
    </row>
    <row r="29" spans="1:9" ht="15" customHeight="1">
      <c r="A29" s="149" t="s">
        <v>146</v>
      </c>
      <c r="B29" s="150" t="s">
        <v>135</v>
      </c>
      <c r="C29" s="151">
        <v>144105</v>
      </c>
      <c r="D29" s="151">
        <v>151370</v>
      </c>
      <c r="E29" s="151">
        <v>159003</v>
      </c>
      <c r="F29" s="151">
        <v>167021</v>
      </c>
      <c r="G29" s="151">
        <v>175442</v>
      </c>
      <c r="I29" s="63"/>
    </row>
    <row r="30" spans="1:9" ht="15" customHeight="1">
      <c r="A30" s="149" t="s">
        <v>147</v>
      </c>
      <c r="B30" s="150" t="s">
        <v>124</v>
      </c>
      <c r="C30" s="151">
        <v>93914</v>
      </c>
      <c r="D30" s="151">
        <v>98649</v>
      </c>
      <c r="E30" s="151">
        <v>103625</v>
      </c>
      <c r="F30" s="151">
        <v>108849</v>
      </c>
      <c r="G30" s="151">
        <v>114337</v>
      </c>
      <c r="I30" s="63"/>
    </row>
    <row r="31" spans="1:9" ht="15" customHeight="1">
      <c r="A31" s="149" t="s">
        <v>148</v>
      </c>
      <c r="B31" s="150" t="s">
        <v>149</v>
      </c>
      <c r="C31" s="151">
        <v>148263</v>
      </c>
      <c r="D31" s="151">
        <v>155738</v>
      </c>
      <c r="E31" s="151">
        <v>163591</v>
      </c>
      <c r="F31" s="151">
        <v>171839</v>
      </c>
      <c r="G31" s="151">
        <v>180502</v>
      </c>
      <c r="I31" s="63"/>
    </row>
    <row r="32" spans="1:9" ht="15" customHeight="1">
      <c r="A32" s="149" t="s">
        <v>150</v>
      </c>
      <c r="B32" s="150" t="s">
        <v>115</v>
      </c>
      <c r="C32" s="151">
        <v>87242</v>
      </c>
      <c r="D32" s="151">
        <v>91643</v>
      </c>
      <c r="E32" s="151">
        <v>96264</v>
      </c>
      <c r="F32" s="151">
        <v>101117</v>
      </c>
      <c r="G32" s="151">
        <v>106216</v>
      </c>
      <c r="I32" s="63"/>
    </row>
    <row r="33" spans="1:9" ht="15" customHeight="1">
      <c r="A33" s="149" t="s">
        <v>151</v>
      </c>
      <c r="B33" s="150" t="s">
        <v>152</v>
      </c>
      <c r="C33" s="151">
        <v>76338</v>
      </c>
      <c r="D33" s="151">
        <v>80184</v>
      </c>
      <c r="E33" s="151">
        <v>84229</v>
      </c>
      <c r="F33" s="151">
        <v>88475</v>
      </c>
      <c r="G33" s="151">
        <v>92935</v>
      </c>
      <c r="I33" s="63"/>
    </row>
    <row r="34" spans="1:9" ht="15" customHeight="1">
      <c r="A34" s="149" t="s">
        <v>153</v>
      </c>
      <c r="B34" s="150" t="s">
        <v>143</v>
      </c>
      <c r="C34" s="151">
        <v>152860</v>
      </c>
      <c r="D34" s="151">
        <v>160566</v>
      </c>
      <c r="E34" s="151">
        <v>168664</v>
      </c>
      <c r="F34" s="151">
        <v>177166</v>
      </c>
      <c r="G34" s="151">
        <v>186098</v>
      </c>
      <c r="I34" s="63"/>
    </row>
    <row r="35" spans="1:9" ht="15" customHeight="1">
      <c r="A35" s="149" t="s">
        <v>154</v>
      </c>
      <c r="B35" s="150" t="s">
        <v>143</v>
      </c>
      <c r="C35" s="151">
        <v>152860</v>
      </c>
      <c r="D35" s="151">
        <v>160566</v>
      </c>
      <c r="E35" s="151">
        <v>168664</v>
      </c>
      <c r="F35" s="151">
        <v>177166</v>
      </c>
      <c r="G35" s="151">
        <v>186098</v>
      </c>
      <c r="I35" s="63"/>
    </row>
    <row r="36" spans="1:9" s="131" customFormat="1" ht="15" customHeight="1">
      <c r="A36" s="149" t="s">
        <v>155</v>
      </c>
      <c r="B36" s="150" t="s">
        <v>143</v>
      </c>
      <c r="C36" s="151">
        <v>152860</v>
      </c>
      <c r="D36" s="151">
        <v>160566</v>
      </c>
      <c r="E36" s="151">
        <v>168664</v>
      </c>
      <c r="F36" s="151">
        <v>177166</v>
      </c>
      <c r="G36" s="151">
        <v>186098</v>
      </c>
      <c r="H36"/>
      <c r="I36" s="63"/>
    </row>
    <row r="37" spans="1:9" s="131" customFormat="1" ht="15" customHeight="1">
      <c r="A37" s="149" t="s">
        <v>156</v>
      </c>
      <c r="B37" s="150" t="s">
        <v>143</v>
      </c>
      <c r="C37" s="151">
        <v>152860</v>
      </c>
      <c r="D37" s="151">
        <v>160566</v>
      </c>
      <c r="E37" s="151">
        <v>168664</v>
      </c>
      <c r="F37" s="151">
        <v>177166</v>
      </c>
      <c r="G37" s="151">
        <v>186098</v>
      </c>
      <c r="H37"/>
      <c r="I37" s="63"/>
    </row>
    <row r="38" spans="1:9" s="131" customFormat="1" ht="15" customHeight="1">
      <c r="A38" s="149" t="s">
        <v>157</v>
      </c>
      <c r="B38" s="150" t="s">
        <v>143</v>
      </c>
      <c r="C38" s="151">
        <v>152860</v>
      </c>
      <c r="D38" s="151">
        <v>160566</v>
      </c>
      <c r="E38" s="151">
        <v>168664</v>
      </c>
      <c r="F38" s="151">
        <v>177166</v>
      </c>
      <c r="G38" s="151">
        <v>186098</v>
      </c>
      <c r="H38"/>
      <c r="I38" s="63"/>
    </row>
    <row r="39" spans="1:9" s="131" customFormat="1" ht="15" customHeight="1">
      <c r="A39" s="149" t="s">
        <v>158</v>
      </c>
      <c r="B39" s="150" t="s">
        <v>143</v>
      </c>
      <c r="C39" s="151">
        <v>152860</v>
      </c>
      <c r="D39" s="151">
        <v>160566</v>
      </c>
      <c r="E39" s="151">
        <v>168664</v>
      </c>
      <c r="F39" s="151">
        <v>177166</v>
      </c>
      <c r="G39" s="151">
        <v>186098</v>
      </c>
      <c r="H39"/>
      <c r="I39" s="63"/>
    </row>
    <row r="40" spans="1:9" s="131" customFormat="1" ht="15" customHeight="1">
      <c r="A40" s="149" t="s">
        <v>159</v>
      </c>
      <c r="B40" s="150" t="s">
        <v>143</v>
      </c>
      <c r="C40" s="151">
        <v>152860</v>
      </c>
      <c r="D40" s="151">
        <v>160566</v>
      </c>
      <c r="E40" s="151">
        <v>168664</v>
      </c>
      <c r="F40" s="151">
        <v>177166</v>
      </c>
      <c r="G40" s="151">
        <v>186098</v>
      </c>
      <c r="H40"/>
      <c r="I40" s="63"/>
    </row>
    <row r="41" spans="1:9" s="131" customFormat="1" ht="15" customHeight="1">
      <c r="A41" s="149" t="s">
        <v>160</v>
      </c>
      <c r="B41" s="150" t="s">
        <v>135</v>
      </c>
      <c r="C41" s="151">
        <v>144105</v>
      </c>
      <c r="D41" s="151">
        <v>151370</v>
      </c>
      <c r="E41" s="151">
        <v>159003</v>
      </c>
      <c r="F41" s="151">
        <v>167021</v>
      </c>
      <c r="G41" s="151">
        <v>175442</v>
      </c>
      <c r="H41"/>
      <c r="I41" s="63"/>
    </row>
    <row r="42" spans="1:9" s="131" customFormat="1" ht="15" customHeight="1">
      <c r="A42" s="149" t="s">
        <v>161</v>
      </c>
      <c r="B42" s="150" t="s">
        <v>162</v>
      </c>
      <c r="C42" s="151">
        <v>140327</v>
      </c>
      <c r="D42" s="151">
        <v>147405</v>
      </c>
      <c r="E42" s="151">
        <v>154833</v>
      </c>
      <c r="F42" s="151">
        <v>162641</v>
      </c>
      <c r="G42" s="151">
        <v>170843</v>
      </c>
      <c r="H42"/>
      <c r="I42" s="63"/>
    </row>
    <row r="43" spans="1:9" ht="15" customHeight="1">
      <c r="A43" s="149" t="s">
        <v>163</v>
      </c>
      <c r="B43" s="150" t="s">
        <v>143</v>
      </c>
      <c r="C43" s="151">
        <v>152860</v>
      </c>
      <c r="D43" s="151">
        <v>160566</v>
      </c>
      <c r="E43" s="151">
        <v>168664</v>
      </c>
      <c r="F43" s="151">
        <v>177166</v>
      </c>
      <c r="G43" s="151">
        <v>186098</v>
      </c>
      <c r="I43" s="63"/>
    </row>
    <row r="44" spans="1:9" ht="15" customHeight="1">
      <c r="A44" s="149" t="s">
        <v>164</v>
      </c>
      <c r="B44" s="150" t="s">
        <v>128</v>
      </c>
      <c r="C44" s="151">
        <v>130490</v>
      </c>
      <c r="D44" s="151">
        <v>137072</v>
      </c>
      <c r="E44" s="151">
        <v>143980</v>
      </c>
      <c r="F44" s="151">
        <v>151240</v>
      </c>
      <c r="G44" s="151">
        <v>158870</v>
      </c>
      <c r="I44" s="63"/>
    </row>
    <row r="45" spans="1:9" ht="15" customHeight="1">
      <c r="A45" s="149" t="s">
        <v>165</v>
      </c>
      <c r="B45" s="150" t="s">
        <v>149</v>
      </c>
      <c r="C45" s="151">
        <v>148263</v>
      </c>
      <c r="D45" s="151">
        <v>155738</v>
      </c>
      <c r="E45" s="151">
        <v>163591</v>
      </c>
      <c r="F45" s="151">
        <v>171839</v>
      </c>
      <c r="G45" s="151">
        <v>180502</v>
      </c>
      <c r="I45" s="63"/>
    </row>
    <row r="46" spans="1:9" ht="15" customHeight="1">
      <c r="A46" s="149" t="s">
        <v>166</v>
      </c>
      <c r="B46" s="150" t="s">
        <v>162</v>
      </c>
      <c r="C46" s="151">
        <v>140327</v>
      </c>
      <c r="D46" s="151">
        <v>147405</v>
      </c>
      <c r="E46" s="151">
        <v>154833</v>
      </c>
      <c r="F46" s="151">
        <v>162641</v>
      </c>
      <c r="G46" s="151">
        <v>170843</v>
      </c>
      <c r="I46" s="63"/>
    </row>
    <row r="47" spans="1:9" ht="15" customHeight="1">
      <c r="A47" s="149" t="s">
        <v>167</v>
      </c>
      <c r="B47" s="150" t="s">
        <v>128</v>
      </c>
      <c r="C47" s="151">
        <v>130490</v>
      </c>
      <c r="D47" s="151">
        <v>137072</v>
      </c>
      <c r="E47" s="151">
        <v>143980</v>
      </c>
      <c r="F47" s="151">
        <v>151240</v>
      </c>
      <c r="G47" s="151">
        <v>158870</v>
      </c>
      <c r="I47" s="63"/>
    </row>
    <row r="48" spans="1:9" ht="15" customHeight="1">
      <c r="A48" s="149" t="s">
        <v>168</v>
      </c>
      <c r="B48" s="150" t="s">
        <v>162</v>
      </c>
      <c r="C48" s="151">
        <v>140327</v>
      </c>
      <c r="D48" s="151">
        <v>147405</v>
      </c>
      <c r="E48" s="151">
        <v>154833</v>
      </c>
      <c r="F48" s="151">
        <v>162641</v>
      </c>
      <c r="G48" s="151">
        <v>170843</v>
      </c>
      <c r="I48" s="63"/>
    </row>
    <row r="49" spans="1:9" ht="15" customHeight="1">
      <c r="A49" s="149" t="s">
        <v>169</v>
      </c>
      <c r="B49" s="150" t="s">
        <v>162</v>
      </c>
      <c r="C49" s="151">
        <v>140327</v>
      </c>
      <c r="D49" s="151">
        <v>147405</v>
      </c>
      <c r="E49" s="151">
        <v>154833</v>
      </c>
      <c r="F49" s="151">
        <v>162641</v>
      </c>
      <c r="G49" s="151">
        <v>170843</v>
      </c>
      <c r="I49" s="63"/>
    </row>
    <row r="50" spans="1:9" ht="15" customHeight="1">
      <c r="A50" s="149" t="s">
        <v>170</v>
      </c>
      <c r="B50" s="150" t="s">
        <v>162</v>
      </c>
      <c r="C50" s="151">
        <v>140327</v>
      </c>
      <c r="D50" s="151">
        <v>147405</v>
      </c>
      <c r="E50" s="151">
        <v>154833</v>
      </c>
      <c r="F50" s="151">
        <v>162641</v>
      </c>
      <c r="G50" s="151">
        <v>170843</v>
      </c>
      <c r="I50" s="63"/>
    </row>
    <row r="51" spans="1:9" s="131" customFormat="1" ht="15" customHeight="1">
      <c r="A51" s="149" t="s">
        <v>171</v>
      </c>
      <c r="B51" s="150" t="s">
        <v>162</v>
      </c>
      <c r="C51" s="151">
        <v>140327</v>
      </c>
      <c r="D51" s="151">
        <v>147405</v>
      </c>
      <c r="E51" s="151">
        <v>154833</v>
      </c>
      <c r="F51" s="151">
        <v>162641</v>
      </c>
      <c r="G51" s="151">
        <v>170843</v>
      </c>
      <c r="H51"/>
      <c r="I51" s="63"/>
    </row>
    <row r="52" spans="1:9" s="131" customFormat="1" ht="15" customHeight="1">
      <c r="A52" s="149" t="s">
        <v>172</v>
      </c>
      <c r="B52" s="150" t="s">
        <v>143</v>
      </c>
      <c r="C52" s="151">
        <v>152860</v>
      </c>
      <c r="D52" s="151">
        <v>160566</v>
      </c>
      <c r="E52" s="151">
        <v>168664</v>
      </c>
      <c r="F52" s="151">
        <v>177166</v>
      </c>
      <c r="G52" s="151">
        <v>186098</v>
      </c>
      <c r="H52"/>
      <c r="I52" s="63"/>
    </row>
    <row r="53" spans="1:9" s="131" customFormat="1" ht="15" customHeight="1">
      <c r="A53" s="149" t="s">
        <v>173</v>
      </c>
      <c r="B53" s="150" t="s">
        <v>162</v>
      </c>
      <c r="C53" s="151">
        <v>140327</v>
      </c>
      <c r="D53" s="151">
        <v>147405</v>
      </c>
      <c r="E53" s="151">
        <v>154833</v>
      </c>
      <c r="F53" s="151">
        <v>162641</v>
      </c>
      <c r="G53" s="151">
        <v>170843</v>
      </c>
      <c r="H53"/>
      <c r="I53" s="63"/>
    </row>
    <row r="54" spans="1:9" s="131" customFormat="1" ht="15" customHeight="1">
      <c r="A54" s="149" t="s">
        <v>174</v>
      </c>
      <c r="B54" s="150" t="s">
        <v>162</v>
      </c>
      <c r="C54" s="151">
        <v>140327</v>
      </c>
      <c r="D54" s="151">
        <v>147405</v>
      </c>
      <c r="E54" s="151">
        <v>154833</v>
      </c>
      <c r="F54" s="151">
        <v>162641</v>
      </c>
      <c r="G54" s="151">
        <v>170843</v>
      </c>
      <c r="H54"/>
      <c r="I54" s="63"/>
    </row>
    <row r="55" spans="1:9" s="131" customFormat="1" ht="15" customHeight="1">
      <c r="A55" s="149" t="s">
        <v>175</v>
      </c>
      <c r="B55" s="150" t="s">
        <v>135</v>
      </c>
      <c r="C55" s="151">
        <v>144105</v>
      </c>
      <c r="D55" s="151">
        <v>151370</v>
      </c>
      <c r="E55" s="151">
        <v>159003</v>
      </c>
      <c r="F55" s="151">
        <v>167021</v>
      </c>
      <c r="G55" s="151">
        <v>175442</v>
      </c>
      <c r="H55"/>
      <c r="I55" s="63"/>
    </row>
    <row r="56" spans="1:9" s="131" customFormat="1" ht="15" customHeight="1">
      <c r="A56" s="149" t="s">
        <v>176</v>
      </c>
      <c r="B56" s="150" t="s">
        <v>149</v>
      </c>
      <c r="C56" s="151">
        <v>148263</v>
      </c>
      <c r="D56" s="151">
        <v>155738</v>
      </c>
      <c r="E56" s="151">
        <v>163591</v>
      </c>
      <c r="F56" s="151">
        <v>171839</v>
      </c>
      <c r="G56" s="151">
        <v>180502</v>
      </c>
      <c r="H56"/>
      <c r="I56" s="63"/>
    </row>
    <row r="57" spans="1:9" s="131" customFormat="1" ht="15" customHeight="1">
      <c r="A57" s="149" t="s">
        <v>177</v>
      </c>
      <c r="B57" s="150" t="s">
        <v>135</v>
      </c>
      <c r="C57" s="151">
        <v>144105</v>
      </c>
      <c r="D57" s="151">
        <v>151370</v>
      </c>
      <c r="E57" s="151">
        <v>159003</v>
      </c>
      <c r="F57" s="151">
        <v>167021</v>
      </c>
      <c r="G57" s="151">
        <v>175442</v>
      </c>
      <c r="H57"/>
      <c r="I57" s="63"/>
    </row>
    <row r="58" spans="1:9" s="131" customFormat="1" ht="15" customHeight="1">
      <c r="A58" s="149" t="s">
        <v>178</v>
      </c>
      <c r="B58" s="150" t="s">
        <v>128</v>
      </c>
      <c r="C58" s="151">
        <v>130490</v>
      </c>
      <c r="D58" s="151">
        <v>137072</v>
      </c>
      <c r="E58" s="151">
        <v>143980</v>
      </c>
      <c r="F58" s="151">
        <v>151240</v>
      </c>
      <c r="G58" s="151">
        <v>158870</v>
      </c>
      <c r="H58"/>
      <c r="I58" s="63"/>
    </row>
    <row r="59" spans="1:9" s="131" customFormat="1" ht="15" customHeight="1">
      <c r="A59" s="149" t="s">
        <v>179</v>
      </c>
      <c r="B59" s="150" t="s">
        <v>135</v>
      </c>
      <c r="C59" s="151">
        <v>144105</v>
      </c>
      <c r="D59" s="151">
        <v>151370</v>
      </c>
      <c r="E59" s="151">
        <v>159003</v>
      </c>
      <c r="F59" s="151">
        <v>167021</v>
      </c>
      <c r="G59" s="151">
        <v>175442</v>
      </c>
      <c r="H59"/>
      <c r="I59" s="63"/>
    </row>
    <row r="60" spans="1:9" ht="15" customHeight="1">
      <c r="A60" s="149" t="s">
        <v>180</v>
      </c>
      <c r="B60" s="150" t="s">
        <v>124</v>
      </c>
      <c r="C60" s="151">
        <v>93914</v>
      </c>
      <c r="D60" s="151">
        <v>98649</v>
      </c>
      <c r="E60" s="151">
        <v>103625</v>
      </c>
      <c r="F60" s="151">
        <v>108849</v>
      </c>
      <c r="G60" s="151">
        <v>114337</v>
      </c>
      <c r="I60" s="63"/>
    </row>
    <row r="61" spans="1:9" ht="15" customHeight="1">
      <c r="A61" s="149" t="s">
        <v>181</v>
      </c>
      <c r="B61" s="150" t="s">
        <v>117</v>
      </c>
      <c r="C61" s="151">
        <v>90413</v>
      </c>
      <c r="D61" s="151">
        <v>94974</v>
      </c>
      <c r="E61" s="151">
        <v>99764</v>
      </c>
      <c r="F61" s="151">
        <v>104792</v>
      </c>
      <c r="G61" s="151">
        <v>110077</v>
      </c>
      <c r="I61" s="63"/>
    </row>
    <row r="62" spans="1:9" ht="15" customHeight="1">
      <c r="A62" s="149" t="s">
        <v>182</v>
      </c>
      <c r="B62" s="150" t="s">
        <v>135</v>
      </c>
      <c r="C62" s="151">
        <v>144105</v>
      </c>
      <c r="D62" s="151">
        <v>151370</v>
      </c>
      <c r="E62" s="151">
        <v>159003</v>
      </c>
      <c r="F62" s="151">
        <v>167021</v>
      </c>
      <c r="G62" s="151">
        <v>175442</v>
      </c>
      <c r="I62" s="63"/>
    </row>
    <row r="63" spans="1:9" ht="15" customHeight="1">
      <c r="A63" s="149" t="s">
        <v>183</v>
      </c>
      <c r="B63" s="150" t="s">
        <v>128</v>
      </c>
      <c r="C63" s="151">
        <v>130490</v>
      </c>
      <c r="D63" s="151">
        <v>137072</v>
      </c>
      <c r="E63" s="151">
        <v>143980</v>
      </c>
      <c r="F63" s="151">
        <v>151240</v>
      </c>
      <c r="G63" s="151">
        <v>158870</v>
      </c>
      <c r="I63" s="63"/>
    </row>
    <row r="64" spans="1:9" ht="15" customHeight="1">
      <c r="A64" s="149" t="s">
        <v>184</v>
      </c>
      <c r="B64" s="150" t="s">
        <v>162</v>
      </c>
      <c r="C64" s="151">
        <v>140327</v>
      </c>
      <c r="D64" s="151">
        <v>147405</v>
      </c>
      <c r="E64" s="151">
        <v>154833</v>
      </c>
      <c r="F64" s="151">
        <v>162641</v>
      </c>
      <c r="G64" s="151">
        <v>170843</v>
      </c>
      <c r="I64" s="63"/>
    </row>
    <row r="65" spans="1:9" ht="15" customHeight="1">
      <c r="A65" s="149" t="s">
        <v>185</v>
      </c>
      <c r="B65" s="150" t="s">
        <v>122</v>
      </c>
      <c r="C65" s="151">
        <v>106598</v>
      </c>
      <c r="D65" s="151">
        <v>111971</v>
      </c>
      <c r="E65" s="151">
        <v>117617</v>
      </c>
      <c r="F65" s="151">
        <v>123550</v>
      </c>
      <c r="G65" s="151">
        <v>129778</v>
      </c>
      <c r="I65" s="63"/>
    </row>
    <row r="66" spans="1:9" ht="15" customHeight="1">
      <c r="A66" s="149" t="s">
        <v>186</v>
      </c>
      <c r="B66" s="150" t="s">
        <v>122</v>
      </c>
      <c r="C66" s="151">
        <v>106598</v>
      </c>
      <c r="D66" s="151">
        <v>111971</v>
      </c>
      <c r="E66" s="151">
        <v>117617</v>
      </c>
      <c r="F66" s="151">
        <v>123550</v>
      </c>
      <c r="G66" s="151">
        <v>129778</v>
      </c>
      <c r="I66" s="63"/>
    </row>
    <row r="67" spans="1:9" ht="15" customHeight="1">
      <c r="A67" s="149" t="s">
        <v>187</v>
      </c>
      <c r="B67" s="150" t="s">
        <v>122</v>
      </c>
      <c r="C67" s="151">
        <v>106598</v>
      </c>
      <c r="D67" s="151">
        <v>111971</v>
      </c>
      <c r="E67" s="151">
        <v>117617</v>
      </c>
      <c r="F67" s="151">
        <v>123550</v>
      </c>
      <c r="G67" s="151">
        <v>129778</v>
      </c>
      <c r="I67" s="63"/>
    </row>
    <row r="68" spans="1:9" ht="15" customHeight="1">
      <c r="A68" s="149" t="s">
        <v>188</v>
      </c>
      <c r="B68" s="150" t="s">
        <v>109</v>
      </c>
      <c r="C68" s="151">
        <v>97741</v>
      </c>
      <c r="D68" s="151">
        <v>102668</v>
      </c>
      <c r="E68" s="151">
        <v>107845</v>
      </c>
      <c r="F68" s="151">
        <v>113280</v>
      </c>
      <c r="G68" s="151">
        <v>118997</v>
      </c>
      <c r="I68" s="63"/>
    </row>
    <row r="69" spans="1:9" ht="15" customHeight="1">
      <c r="A69" s="149" t="s">
        <v>189</v>
      </c>
      <c r="B69" s="150" t="s">
        <v>128</v>
      </c>
      <c r="C69" s="151">
        <v>130490</v>
      </c>
      <c r="D69" s="151">
        <v>137072</v>
      </c>
      <c r="E69" s="151">
        <v>143980</v>
      </c>
      <c r="F69" s="151">
        <v>151240</v>
      </c>
      <c r="G69" s="151">
        <v>158870</v>
      </c>
      <c r="I69" s="63"/>
    </row>
    <row r="70" spans="1:9" ht="15" customHeight="1">
      <c r="A70" s="149" t="s">
        <v>190</v>
      </c>
      <c r="B70" s="150" t="s">
        <v>107</v>
      </c>
      <c r="C70" s="151">
        <v>111626</v>
      </c>
      <c r="D70" s="151">
        <v>117254</v>
      </c>
      <c r="E70" s="151">
        <v>123165</v>
      </c>
      <c r="F70" s="151">
        <v>129375</v>
      </c>
      <c r="G70" s="151">
        <v>135900</v>
      </c>
      <c r="I70" s="63"/>
    </row>
    <row r="71" spans="1:9" ht="15" customHeight="1">
      <c r="A71" s="149" t="s">
        <v>191</v>
      </c>
      <c r="B71" s="150" t="s">
        <v>107</v>
      </c>
      <c r="C71" s="151">
        <v>111626</v>
      </c>
      <c r="D71" s="151">
        <v>117254</v>
      </c>
      <c r="E71" s="151">
        <v>123165</v>
      </c>
      <c r="F71" s="151">
        <v>129375</v>
      </c>
      <c r="G71" s="151">
        <v>135900</v>
      </c>
      <c r="I71" s="63"/>
    </row>
    <row r="72" spans="1:9" ht="15" customHeight="1">
      <c r="A72" s="149" t="s">
        <v>192</v>
      </c>
      <c r="B72" s="150" t="s">
        <v>122</v>
      </c>
      <c r="C72" s="151">
        <v>106598</v>
      </c>
      <c r="D72" s="151">
        <v>111971</v>
      </c>
      <c r="E72" s="151">
        <v>117617</v>
      </c>
      <c r="F72" s="151">
        <v>123550</v>
      </c>
      <c r="G72" s="151">
        <v>129778</v>
      </c>
      <c r="I72" s="63"/>
    </row>
    <row r="73" spans="1:9" ht="15" customHeight="1">
      <c r="A73" s="149" t="s">
        <v>193</v>
      </c>
      <c r="B73" s="150" t="s">
        <v>109</v>
      </c>
      <c r="C73" s="151">
        <v>97741</v>
      </c>
      <c r="D73" s="151">
        <v>102668</v>
      </c>
      <c r="E73" s="151">
        <v>107845</v>
      </c>
      <c r="F73" s="151">
        <v>113280</v>
      </c>
      <c r="G73" s="151">
        <v>118997</v>
      </c>
      <c r="I73" s="63"/>
    </row>
    <row r="74" spans="1:9" ht="15" customHeight="1">
      <c r="A74" s="149" t="s">
        <v>194</v>
      </c>
      <c r="B74" s="150" t="s">
        <v>122</v>
      </c>
      <c r="C74" s="151">
        <v>106598</v>
      </c>
      <c r="D74" s="151">
        <v>111971</v>
      </c>
      <c r="E74" s="151">
        <v>117617</v>
      </c>
      <c r="F74" s="151">
        <v>123550</v>
      </c>
      <c r="G74" s="151">
        <v>129778</v>
      </c>
      <c r="I74" s="63"/>
    </row>
    <row r="75" spans="1:9" ht="15" customHeight="1">
      <c r="A75" s="149" t="s">
        <v>195</v>
      </c>
      <c r="B75" s="150" t="s">
        <v>128</v>
      </c>
      <c r="C75" s="151">
        <v>130490</v>
      </c>
      <c r="D75" s="151">
        <v>137072</v>
      </c>
      <c r="E75" s="151">
        <v>143980</v>
      </c>
      <c r="F75" s="151">
        <v>151240</v>
      </c>
      <c r="G75" s="151">
        <v>158870</v>
      </c>
      <c r="I75" s="63"/>
    </row>
    <row r="76" spans="1:9" ht="15" customHeight="1">
      <c r="A76" s="149" t="s">
        <v>196</v>
      </c>
      <c r="B76" s="150" t="s">
        <v>128</v>
      </c>
      <c r="C76" s="151">
        <v>130490</v>
      </c>
      <c r="D76" s="151">
        <v>137072</v>
      </c>
      <c r="E76" s="151">
        <v>143980</v>
      </c>
      <c r="F76" s="151">
        <v>151240</v>
      </c>
      <c r="G76" s="151">
        <v>158870</v>
      </c>
      <c r="I76" s="63"/>
    </row>
    <row r="77" spans="1:9" ht="15" customHeight="1">
      <c r="A77" s="149" t="s">
        <v>197</v>
      </c>
      <c r="B77" s="150" t="s">
        <v>109</v>
      </c>
      <c r="C77" s="151">
        <v>97741</v>
      </c>
      <c r="D77" s="151">
        <v>102668</v>
      </c>
      <c r="E77" s="151">
        <v>107845</v>
      </c>
      <c r="F77" s="151">
        <v>113280</v>
      </c>
      <c r="G77" s="151">
        <v>118997</v>
      </c>
      <c r="I77" s="63"/>
    </row>
    <row r="78" spans="1:9" s="131" customFormat="1" ht="15" customHeight="1">
      <c r="A78" s="149" t="s">
        <v>198</v>
      </c>
      <c r="B78" s="150" t="s">
        <v>107</v>
      </c>
      <c r="C78" s="151">
        <v>111626</v>
      </c>
      <c r="D78" s="151">
        <v>117254</v>
      </c>
      <c r="E78" s="151">
        <v>123165</v>
      </c>
      <c r="F78" s="151">
        <v>129375</v>
      </c>
      <c r="G78" s="151">
        <v>135900</v>
      </c>
      <c r="H78"/>
      <c r="I78" s="63"/>
    </row>
    <row r="79" spans="1:9" s="131" customFormat="1" ht="15" customHeight="1">
      <c r="A79" s="149" t="s">
        <v>199</v>
      </c>
      <c r="B79" s="150" t="s">
        <v>128</v>
      </c>
      <c r="C79" s="151">
        <v>130490</v>
      </c>
      <c r="D79" s="151">
        <v>137072</v>
      </c>
      <c r="E79" s="151">
        <v>143980</v>
      </c>
      <c r="F79" s="151">
        <v>151240</v>
      </c>
      <c r="G79" s="151">
        <v>158870</v>
      </c>
      <c r="H79"/>
      <c r="I79" s="63"/>
    </row>
    <row r="80" spans="1:9" s="131" customFormat="1" ht="15" customHeight="1">
      <c r="A80" s="149" t="s">
        <v>200</v>
      </c>
      <c r="B80" s="150" t="s">
        <v>122</v>
      </c>
      <c r="C80" s="151">
        <v>106598</v>
      </c>
      <c r="D80" s="151">
        <v>111971</v>
      </c>
      <c r="E80" s="151">
        <v>117617</v>
      </c>
      <c r="F80" s="151">
        <v>123550</v>
      </c>
      <c r="G80" s="151">
        <v>129778</v>
      </c>
      <c r="H80"/>
      <c r="I80" s="63"/>
    </row>
    <row r="81" spans="1:9" s="131" customFormat="1" ht="15" customHeight="1">
      <c r="A81" s="149" t="s">
        <v>201</v>
      </c>
      <c r="B81" s="150" t="s">
        <v>122</v>
      </c>
      <c r="C81" s="151">
        <v>106598</v>
      </c>
      <c r="D81" s="151">
        <v>111971</v>
      </c>
      <c r="E81" s="151">
        <v>117617</v>
      </c>
      <c r="F81" s="151">
        <v>123550</v>
      </c>
      <c r="G81" s="151">
        <v>129778</v>
      </c>
      <c r="H81"/>
      <c r="I81" s="63"/>
    </row>
    <row r="82" spans="1:9" s="131" customFormat="1" ht="15" customHeight="1">
      <c r="A82" s="149" t="s">
        <v>202</v>
      </c>
      <c r="B82" s="150" t="s">
        <v>113</v>
      </c>
      <c r="C82" s="151">
        <v>101897</v>
      </c>
      <c r="D82" s="151">
        <v>107032</v>
      </c>
      <c r="E82" s="151">
        <v>112428</v>
      </c>
      <c r="F82" s="151">
        <v>118097</v>
      </c>
      <c r="G82" s="151">
        <v>124051</v>
      </c>
      <c r="H82"/>
      <c r="I82" s="63"/>
    </row>
    <row r="83" spans="1:9" s="131" customFormat="1" ht="15" customHeight="1">
      <c r="A83" s="149" t="s">
        <v>203</v>
      </c>
      <c r="B83" s="150" t="s">
        <v>128</v>
      </c>
      <c r="C83" s="151">
        <v>130490</v>
      </c>
      <c r="D83" s="151">
        <v>137072</v>
      </c>
      <c r="E83" s="151">
        <v>143980</v>
      </c>
      <c r="F83" s="151">
        <v>151240</v>
      </c>
      <c r="G83" s="151">
        <v>158870</v>
      </c>
      <c r="H83"/>
      <c r="I83" s="63"/>
    </row>
    <row r="84" spans="1:9" s="131" customFormat="1" ht="15" customHeight="1">
      <c r="A84" s="149" t="s">
        <v>204</v>
      </c>
      <c r="B84" s="150" t="s">
        <v>113</v>
      </c>
      <c r="C84" s="151">
        <v>101897</v>
      </c>
      <c r="D84" s="151">
        <v>107032</v>
      </c>
      <c r="E84" s="151">
        <v>112428</v>
      </c>
      <c r="F84" s="151">
        <v>118097</v>
      </c>
      <c r="G84" s="151">
        <v>124051</v>
      </c>
      <c r="H84"/>
      <c r="I84" s="63"/>
    </row>
    <row r="85" spans="1:9" s="131" customFormat="1" ht="15" customHeight="1">
      <c r="A85" s="149" t="s">
        <v>205</v>
      </c>
      <c r="B85" s="150" t="s">
        <v>128</v>
      </c>
      <c r="C85" s="151">
        <v>130490</v>
      </c>
      <c r="D85" s="151">
        <v>137072</v>
      </c>
      <c r="E85" s="151">
        <v>143980</v>
      </c>
      <c r="F85" s="151">
        <v>151240</v>
      </c>
      <c r="G85" s="151">
        <v>158870</v>
      </c>
      <c r="H85"/>
      <c r="I85" s="63"/>
    </row>
    <row r="86" spans="1:9" s="131" customFormat="1" ht="15" customHeight="1">
      <c r="A86" s="149" t="s">
        <v>206</v>
      </c>
      <c r="B86" s="150" t="s">
        <v>149</v>
      </c>
      <c r="C86" s="151">
        <v>148263</v>
      </c>
      <c r="D86" s="151">
        <v>155738</v>
      </c>
      <c r="E86" s="151">
        <v>163591</v>
      </c>
      <c r="F86" s="151">
        <v>171839</v>
      </c>
      <c r="G86" s="151">
        <v>180502</v>
      </c>
      <c r="H86"/>
      <c r="I86" s="63"/>
    </row>
    <row r="87" spans="1:9" s="131" customFormat="1" ht="15" customHeight="1">
      <c r="A87" s="149" t="s">
        <v>207</v>
      </c>
      <c r="B87" s="150" t="s">
        <v>135</v>
      </c>
      <c r="C87" s="151">
        <v>144105</v>
      </c>
      <c r="D87" s="151">
        <v>151370</v>
      </c>
      <c r="E87" s="151">
        <v>159003</v>
      </c>
      <c r="F87" s="151">
        <v>167021</v>
      </c>
      <c r="G87" s="151">
        <v>175442</v>
      </c>
      <c r="H87"/>
      <c r="I87" s="63"/>
    </row>
    <row r="88" spans="1:9" s="131" customFormat="1" ht="15" customHeight="1">
      <c r="A88" s="149" t="s">
        <v>208</v>
      </c>
      <c r="B88" s="150" t="s">
        <v>122</v>
      </c>
      <c r="C88" s="151">
        <v>106598</v>
      </c>
      <c r="D88" s="151">
        <v>111971</v>
      </c>
      <c r="E88" s="151">
        <v>117617</v>
      </c>
      <c r="F88" s="151">
        <v>123550</v>
      </c>
      <c r="G88" s="151">
        <v>129778</v>
      </c>
      <c r="H88"/>
      <c r="I88" s="63"/>
    </row>
    <row r="89" spans="1:9" s="131" customFormat="1" ht="15" customHeight="1">
      <c r="A89" s="149" t="s">
        <v>209</v>
      </c>
      <c r="B89" s="150" t="s">
        <v>122</v>
      </c>
      <c r="C89" s="151">
        <v>106598</v>
      </c>
      <c r="D89" s="151">
        <v>111971</v>
      </c>
      <c r="E89" s="151">
        <v>117617</v>
      </c>
      <c r="F89" s="151">
        <v>123550</v>
      </c>
      <c r="G89" s="151">
        <v>129778</v>
      </c>
      <c r="H89"/>
      <c r="I89" s="63"/>
    </row>
    <row r="90" spans="1:9" s="131" customFormat="1" ht="15" customHeight="1">
      <c r="A90" s="149" t="s">
        <v>210</v>
      </c>
      <c r="B90" s="150" t="s">
        <v>122</v>
      </c>
      <c r="C90" s="151">
        <v>106598</v>
      </c>
      <c r="D90" s="151">
        <v>111971</v>
      </c>
      <c r="E90" s="151">
        <v>117617</v>
      </c>
      <c r="F90" s="151">
        <v>123550</v>
      </c>
      <c r="G90" s="151">
        <v>129778</v>
      </c>
      <c r="H90"/>
      <c r="I90" s="63"/>
    </row>
    <row r="91" spans="1:9" s="131" customFormat="1" ht="15" customHeight="1">
      <c r="A91" s="149" t="s">
        <v>211</v>
      </c>
      <c r="B91" s="150" t="s">
        <v>122</v>
      </c>
      <c r="C91" s="151">
        <v>106598</v>
      </c>
      <c r="D91" s="151">
        <v>111971</v>
      </c>
      <c r="E91" s="151">
        <v>117617</v>
      </c>
      <c r="F91" s="151">
        <v>123550</v>
      </c>
      <c r="G91" s="151">
        <v>129778</v>
      </c>
      <c r="H91"/>
      <c r="I91" s="63"/>
    </row>
    <row r="92" spans="1:9" ht="15" customHeight="1">
      <c r="A92" s="149" t="s">
        <v>212</v>
      </c>
      <c r="B92" s="150" t="s">
        <v>128</v>
      </c>
      <c r="C92" s="151">
        <v>130490</v>
      </c>
      <c r="D92" s="151">
        <v>137072</v>
      </c>
      <c r="E92" s="151">
        <v>143980</v>
      </c>
      <c r="F92" s="151">
        <v>151240</v>
      </c>
      <c r="G92" s="151">
        <v>158870</v>
      </c>
      <c r="I92" s="63"/>
    </row>
    <row r="93" spans="1:9" ht="15" customHeight="1">
      <c r="A93" s="149" t="s">
        <v>213</v>
      </c>
      <c r="B93" s="150" t="s">
        <v>122</v>
      </c>
      <c r="C93" s="151">
        <v>106598</v>
      </c>
      <c r="D93" s="151">
        <v>111971</v>
      </c>
      <c r="E93" s="151">
        <v>117617</v>
      </c>
      <c r="F93" s="151">
        <v>123550</v>
      </c>
      <c r="G93" s="151">
        <v>129778</v>
      </c>
      <c r="I93" s="63"/>
    </row>
    <row r="94" spans="1:9" ht="15" customHeight="1">
      <c r="A94" s="149" t="s">
        <v>214</v>
      </c>
      <c r="B94" s="150" t="s">
        <v>109</v>
      </c>
      <c r="C94" s="151">
        <v>97741</v>
      </c>
      <c r="D94" s="151">
        <v>102668</v>
      </c>
      <c r="E94" s="151">
        <v>107845</v>
      </c>
      <c r="F94" s="151">
        <v>113280</v>
      </c>
      <c r="G94" s="151">
        <v>118997</v>
      </c>
      <c r="I94" s="63"/>
    </row>
    <row r="95" spans="1:9" ht="15" customHeight="1">
      <c r="A95" s="149" t="s">
        <v>215</v>
      </c>
      <c r="B95" s="150" t="s">
        <v>109</v>
      </c>
      <c r="C95" s="151">
        <v>97741</v>
      </c>
      <c r="D95" s="151">
        <v>102668</v>
      </c>
      <c r="E95" s="151">
        <v>107845</v>
      </c>
      <c r="F95" s="151">
        <v>113280</v>
      </c>
      <c r="G95" s="151">
        <v>118997</v>
      </c>
      <c r="I95" s="63"/>
    </row>
    <row r="96" spans="1:9" ht="15" customHeight="1">
      <c r="A96" s="149" t="s">
        <v>216</v>
      </c>
      <c r="B96" s="150" t="s">
        <v>122</v>
      </c>
      <c r="C96" s="151">
        <v>106598</v>
      </c>
      <c r="D96" s="151">
        <v>111971</v>
      </c>
      <c r="E96" s="151">
        <v>117617</v>
      </c>
      <c r="F96" s="151">
        <v>123550</v>
      </c>
      <c r="G96" s="151">
        <v>129778</v>
      </c>
      <c r="I96" s="63"/>
    </row>
    <row r="97" spans="1:9" ht="15" customHeight="1">
      <c r="A97" s="149" t="s">
        <v>217</v>
      </c>
      <c r="B97" s="150" t="s">
        <v>149</v>
      </c>
      <c r="C97" s="151">
        <v>148263</v>
      </c>
      <c r="D97" s="151">
        <v>155738</v>
      </c>
      <c r="E97" s="151">
        <v>163591</v>
      </c>
      <c r="F97" s="151">
        <v>171839</v>
      </c>
      <c r="G97" s="151">
        <v>180502</v>
      </c>
      <c r="I97" s="63"/>
    </row>
    <row r="98" spans="1:9" ht="15" customHeight="1">
      <c r="A98" s="149" t="s">
        <v>218</v>
      </c>
      <c r="B98" s="150" t="s">
        <v>135</v>
      </c>
      <c r="C98" s="151">
        <v>144105</v>
      </c>
      <c r="D98" s="151">
        <v>151370</v>
      </c>
      <c r="E98" s="151">
        <v>159003</v>
      </c>
      <c r="F98" s="151">
        <v>167021</v>
      </c>
      <c r="G98" s="151">
        <v>175442</v>
      </c>
      <c r="I98" s="63"/>
    </row>
    <row r="99" spans="1:9" ht="15" customHeight="1">
      <c r="A99" s="149" t="s">
        <v>219</v>
      </c>
      <c r="B99" s="150" t="s">
        <v>117</v>
      </c>
      <c r="C99" s="151">
        <v>90413</v>
      </c>
      <c r="D99" s="151">
        <v>94974</v>
      </c>
      <c r="E99" s="151">
        <v>99764</v>
      </c>
      <c r="F99" s="151">
        <v>104792</v>
      </c>
      <c r="G99" s="151">
        <v>110077</v>
      </c>
      <c r="I99" s="63"/>
    </row>
    <row r="100" spans="1:9" ht="15" customHeight="1">
      <c r="A100" s="149" t="s">
        <v>220</v>
      </c>
      <c r="B100" s="150" t="s">
        <v>122</v>
      </c>
      <c r="C100" s="151">
        <v>106598</v>
      </c>
      <c r="D100" s="151">
        <v>111971</v>
      </c>
      <c r="E100" s="151">
        <v>117617</v>
      </c>
      <c r="F100" s="151">
        <v>123550</v>
      </c>
      <c r="G100" s="151">
        <v>129778</v>
      </c>
      <c r="I100" s="63"/>
    </row>
    <row r="101" spans="1:9" ht="15" customHeight="1">
      <c r="A101" s="149" t="s">
        <v>221</v>
      </c>
      <c r="B101" s="150" t="s">
        <v>109</v>
      </c>
      <c r="C101" s="151">
        <v>97741</v>
      </c>
      <c r="D101" s="151">
        <v>102668</v>
      </c>
      <c r="E101" s="151">
        <v>107845</v>
      </c>
      <c r="F101" s="151">
        <v>113280</v>
      </c>
      <c r="G101" s="151">
        <v>118997</v>
      </c>
      <c r="I101" s="63"/>
    </row>
    <row r="102" spans="1:9" s="131" customFormat="1" ht="15" customHeight="1">
      <c r="A102" s="149" t="s">
        <v>222</v>
      </c>
      <c r="B102" s="150" t="s">
        <v>128</v>
      </c>
      <c r="C102" s="151">
        <v>130490</v>
      </c>
      <c r="D102" s="151">
        <v>137072</v>
      </c>
      <c r="E102" s="151">
        <v>143980</v>
      </c>
      <c r="F102" s="151">
        <v>151240</v>
      </c>
      <c r="G102" s="151">
        <v>158870</v>
      </c>
      <c r="H102"/>
      <c r="I102" s="63"/>
    </row>
    <row r="103" spans="1:9" s="131" customFormat="1" ht="15" customHeight="1">
      <c r="A103" s="149" t="s">
        <v>223</v>
      </c>
      <c r="B103" s="150" t="s">
        <v>128</v>
      </c>
      <c r="C103" s="151">
        <v>130490</v>
      </c>
      <c r="D103" s="151">
        <v>137072</v>
      </c>
      <c r="E103" s="151">
        <v>143980</v>
      </c>
      <c r="F103" s="151">
        <v>151240</v>
      </c>
      <c r="G103" s="151">
        <v>158870</v>
      </c>
      <c r="H103"/>
      <c r="I103" s="63"/>
    </row>
    <row r="104" spans="1:9" s="131" customFormat="1" ht="15" customHeight="1">
      <c r="A104" s="149" t="s">
        <v>224</v>
      </c>
      <c r="B104" s="150" t="s">
        <v>109</v>
      </c>
      <c r="C104" s="151">
        <v>97741</v>
      </c>
      <c r="D104" s="151">
        <v>102668</v>
      </c>
      <c r="E104" s="151">
        <v>107845</v>
      </c>
      <c r="F104" s="151">
        <v>113280</v>
      </c>
      <c r="G104" s="151">
        <v>118997</v>
      </c>
      <c r="H104"/>
      <c r="I104" s="63"/>
    </row>
    <row r="105" spans="1:9" s="131" customFormat="1" ht="15" customHeight="1">
      <c r="A105" s="149" t="s">
        <v>225</v>
      </c>
      <c r="B105" s="150" t="s">
        <v>122</v>
      </c>
      <c r="C105" s="151">
        <v>106598</v>
      </c>
      <c r="D105" s="151">
        <v>111971</v>
      </c>
      <c r="E105" s="151">
        <v>117617</v>
      </c>
      <c r="F105" s="151">
        <v>123550</v>
      </c>
      <c r="G105" s="151">
        <v>129778</v>
      </c>
      <c r="H105"/>
      <c r="I105" s="63"/>
    </row>
    <row r="106" spans="1:9" s="131" customFormat="1" ht="15" customHeight="1">
      <c r="A106" s="149" t="s">
        <v>226</v>
      </c>
      <c r="B106" s="150" t="s">
        <v>122</v>
      </c>
      <c r="C106" s="151">
        <v>106598</v>
      </c>
      <c r="D106" s="151">
        <v>111971</v>
      </c>
      <c r="E106" s="151">
        <v>117617</v>
      </c>
      <c r="F106" s="151">
        <v>123550</v>
      </c>
      <c r="G106" s="151">
        <v>129778</v>
      </c>
      <c r="H106"/>
      <c r="I106" s="63"/>
    </row>
    <row r="107" spans="1:9" s="131" customFormat="1" ht="15" customHeight="1">
      <c r="A107" s="149" t="s">
        <v>227</v>
      </c>
      <c r="B107" s="150" t="s">
        <v>122</v>
      </c>
      <c r="C107" s="151">
        <v>106598</v>
      </c>
      <c r="D107" s="151">
        <v>111971</v>
      </c>
      <c r="E107" s="151">
        <v>117617</v>
      </c>
      <c r="F107" s="151">
        <v>123550</v>
      </c>
      <c r="G107" s="151">
        <v>129778</v>
      </c>
      <c r="H107"/>
      <c r="I107" s="63"/>
    </row>
    <row r="108" spans="1:9" s="131" customFormat="1" ht="15" customHeight="1">
      <c r="A108" s="149" t="s">
        <v>228</v>
      </c>
      <c r="B108" s="150" t="s">
        <v>109</v>
      </c>
      <c r="C108" s="151">
        <v>97741</v>
      </c>
      <c r="D108" s="151">
        <v>102668</v>
      </c>
      <c r="E108" s="151">
        <v>107845</v>
      </c>
      <c r="F108" s="151">
        <v>113280</v>
      </c>
      <c r="G108" s="151">
        <v>118997</v>
      </c>
      <c r="H108"/>
      <c r="I108" s="63"/>
    </row>
    <row r="109" spans="1:9" s="131" customFormat="1" ht="15" customHeight="1">
      <c r="A109" s="149" t="s">
        <v>229</v>
      </c>
      <c r="B109" s="150" t="s">
        <v>109</v>
      </c>
      <c r="C109" s="151">
        <v>97741</v>
      </c>
      <c r="D109" s="151">
        <v>102668</v>
      </c>
      <c r="E109" s="151">
        <v>107845</v>
      </c>
      <c r="F109" s="151">
        <v>113280</v>
      </c>
      <c r="G109" s="151">
        <v>118997</v>
      </c>
      <c r="H109"/>
      <c r="I109" s="63"/>
    </row>
    <row r="110" spans="1:9" s="131" customFormat="1" ht="15" customHeight="1">
      <c r="A110" s="149" t="s">
        <v>230</v>
      </c>
      <c r="B110" s="150" t="s">
        <v>122</v>
      </c>
      <c r="C110" s="151">
        <v>106598</v>
      </c>
      <c r="D110" s="151">
        <v>111971</v>
      </c>
      <c r="E110" s="151">
        <v>117617</v>
      </c>
      <c r="F110" s="151">
        <v>123550</v>
      </c>
      <c r="G110" s="151">
        <v>129778</v>
      </c>
      <c r="H110"/>
      <c r="I110" s="63"/>
    </row>
    <row r="111" spans="1:9" s="131" customFormat="1">
      <c r="A111" s="149" t="s">
        <v>231</v>
      </c>
      <c r="B111" s="150" t="s">
        <v>107</v>
      </c>
      <c r="C111" s="151">
        <v>111626</v>
      </c>
      <c r="D111" s="151">
        <v>117254</v>
      </c>
      <c r="E111" s="151">
        <v>123165</v>
      </c>
      <c r="F111" s="151">
        <v>129375</v>
      </c>
      <c r="G111" s="151">
        <v>135900</v>
      </c>
      <c r="H111"/>
      <c r="I111" s="63"/>
    </row>
    <row r="112" spans="1:9" s="131" customFormat="1">
      <c r="A112" s="149" t="s">
        <v>232</v>
      </c>
      <c r="B112" s="150" t="s">
        <v>113</v>
      </c>
      <c r="C112" s="151">
        <v>101897</v>
      </c>
      <c r="D112" s="151">
        <v>107032</v>
      </c>
      <c r="E112" s="151">
        <v>112428</v>
      </c>
      <c r="F112" s="151">
        <v>118097</v>
      </c>
      <c r="G112" s="151">
        <v>124051</v>
      </c>
      <c r="H112"/>
      <c r="I112" s="63"/>
    </row>
    <row r="113" spans="1:9" s="131" customFormat="1">
      <c r="A113" s="149" t="s">
        <v>233</v>
      </c>
      <c r="B113" s="150" t="s">
        <v>234</v>
      </c>
      <c r="C113" s="151">
        <v>157897</v>
      </c>
      <c r="D113" s="151">
        <v>165857</v>
      </c>
      <c r="E113" s="151">
        <v>174221</v>
      </c>
      <c r="F113" s="151">
        <v>183005</v>
      </c>
      <c r="G113" s="151">
        <v>192231</v>
      </c>
      <c r="H113"/>
      <c r="I113" s="63"/>
    </row>
    <row r="114" spans="1:9">
      <c r="A114" s="149" t="s">
        <v>235</v>
      </c>
      <c r="B114" s="150" t="s">
        <v>234</v>
      </c>
      <c r="C114" s="151">
        <v>157897</v>
      </c>
      <c r="D114" s="151">
        <v>165857</v>
      </c>
      <c r="E114" s="151">
        <v>174221</v>
      </c>
      <c r="F114" s="151">
        <v>183005</v>
      </c>
      <c r="G114" s="151">
        <v>192231</v>
      </c>
      <c r="I114" s="63"/>
    </row>
    <row r="115" spans="1:9">
      <c r="A115" s="149" t="s">
        <v>236</v>
      </c>
      <c r="B115" s="150" t="s">
        <v>124</v>
      </c>
      <c r="C115" s="151">
        <v>93914</v>
      </c>
      <c r="D115" s="151">
        <v>98649</v>
      </c>
      <c r="E115" s="151">
        <v>103625</v>
      </c>
      <c r="F115" s="151">
        <v>108849</v>
      </c>
      <c r="G115" s="151">
        <v>114337</v>
      </c>
      <c r="I115" s="63"/>
    </row>
    <row r="116" spans="1:9">
      <c r="A116" s="149" t="s">
        <v>237</v>
      </c>
      <c r="B116" s="150" t="s">
        <v>122</v>
      </c>
      <c r="C116" s="151">
        <v>106598</v>
      </c>
      <c r="D116" s="151">
        <v>111971</v>
      </c>
      <c r="E116" s="151">
        <v>117617</v>
      </c>
      <c r="F116" s="151">
        <v>123550</v>
      </c>
      <c r="G116" s="151">
        <v>129778</v>
      </c>
      <c r="I116" s="63"/>
    </row>
    <row r="117" spans="1:9">
      <c r="A117" s="149" t="s">
        <v>238</v>
      </c>
      <c r="B117" s="150" t="s">
        <v>122</v>
      </c>
      <c r="C117" s="151">
        <v>106598</v>
      </c>
      <c r="D117" s="151">
        <v>111971</v>
      </c>
      <c r="E117" s="151">
        <v>117617</v>
      </c>
      <c r="F117" s="151">
        <v>123550</v>
      </c>
      <c r="G117" s="151">
        <v>129778</v>
      </c>
      <c r="I117" s="63"/>
    </row>
    <row r="118" spans="1:9">
      <c r="A118" s="149" t="s">
        <v>239</v>
      </c>
      <c r="B118" s="150" t="s">
        <v>162</v>
      </c>
      <c r="C118" s="151">
        <v>140327</v>
      </c>
      <c r="D118" s="151">
        <v>147405</v>
      </c>
      <c r="E118" s="151">
        <v>154833</v>
      </c>
      <c r="F118" s="151">
        <v>162641</v>
      </c>
      <c r="G118" s="151">
        <v>170843</v>
      </c>
      <c r="I118" s="63"/>
    </row>
    <row r="119" spans="1:9">
      <c r="A119" s="149" t="s">
        <v>240</v>
      </c>
      <c r="B119" s="150" t="s">
        <v>162</v>
      </c>
      <c r="C119" s="151">
        <v>140327</v>
      </c>
      <c r="D119" s="151">
        <v>147405</v>
      </c>
      <c r="E119" s="151">
        <v>154833</v>
      </c>
      <c r="F119" s="151">
        <v>162641</v>
      </c>
      <c r="G119" s="151">
        <v>170843</v>
      </c>
      <c r="I119" s="63"/>
    </row>
    <row r="120" spans="1:9">
      <c r="A120" s="149" t="s">
        <v>241</v>
      </c>
      <c r="B120" s="150" t="s">
        <v>107</v>
      </c>
      <c r="C120" s="151">
        <v>111626</v>
      </c>
      <c r="D120" s="151">
        <v>117254</v>
      </c>
      <c r="E120" s="151">
        <v>123165</v>
      </c>
      <c r="F120" s="151">
        <v>129375</v>
      </c>
      <c r="G120" s="151">
        <v>135900</v>
      </c>
      <c r="I120" s="63"/>
    </row>
    <row r="121" spans="1:9">
      <c r="A121" s="149" t="s">
        <v>242</v>
      </c>
      <c r="B121" s="150" t="s">
        <v>107</v>
      </c>
      <c r="C121" s="151">
        <v>111626</v>
      </c>
      <c r="D121" s="151">
        <v>117254</v>
      </c>
      <c r="E121" s="151">
        <v>123165</v>
      </c>
      <c r="F121" s="151">
        <v>129375</v>
      </c>
      <c r="G121" s="151">
        <v>135900</v>
      </c>
      <c r="I121" s="63"/>
    </row>
    <row r="122" spans="1:9">
      <c r="A122" s="149" t="s">
        <v>243</v>
      </c>
      <c r="B122" s="150" t="s">
        <v>128</v>
      </c>
      <c r="C122" s="151">
        <v>130490</v>
      </c>
      <c r="D122" s="151">
        <v>137072</v>
      </c>
      <c r="E122" s="151">
        <v>143980</v>
      </c>
      <c r="F122" s="151">
        <v>151240</v>
      </c>
      <c r="G122" s="151">
        <v>158870</v>
      </c>
      <c r="I122" s="63"/>
    </row>
    <row r="123" spans="1:9">
      <c r="A123" s="149" t="s">
        <v>244</v>
      </c>
      <c r="B123" s="150" t="s">
        <v>128</v>
      </c>
      <c r="C123" s="151">
        <v>130490</v>
      </c>
      <c r="D123" s="151">
        <v>137072</v>
      </c>
      <c r="E123" s="151">
        <v>143980</v>
      </c>
      <c r="F123" s="151">
        <v>151240</v>
      </c>
      <c r="G123" s="151">
        <v>158870</v>
      </c>
    </row>
    <row r="124" spans="1:9">
      <c r="A124" s="149" t="s">
        <v>245</v>
      </c>
      <c r="B124" s="150" t="s">
        <v>107</v>
      </c>
      <c r="C124" s="151">
        <v>111626</v>
      </c>
      <c r="D124" s="151">
        <v>117254</v>
      </c>
      <c r="E124" s="151">
        <v>123165</v>
      </c>
      <c r="F124" s="151">
        <v>129375</v>
      </c>
      <c r="G124" s="151">
        <v>135900</v>
      </c>
    </row>
    <row r="125" spans="1:9">
      <c r="A125" s="149" t="s">
        <v>246</v>
      </c>
      <c r="B125" s="150" t="s">
        <v>137</v>
      </c>
      <c r="C125" s="151">
        <v>163498</v>
      </c>
      <c r="D125" s="151">
        <v>171743</v>
      </c>
      <c r="E125" s="151">
        <v>180403</v>
      </c>
      <c r="F125" s="151">
        <v>189497</v>
      </c>
      <c r="G125" s="151">
        <v>199054</v>
      </c>
    </row>
    <row r="126" spans="1:9">
      <c r="A126" s="149" t="s">
        <v>247</v>
      </c>
      <c r="B126" s="150" t="s">
        <v>111</v>
      </c>
      <c r="C126" s="151">
        <v>69067</v>
      </c>
      <c r="D126" s="151">
        <v>72547</v>
      </c>
      <c r="E126" s="151">
        <v>76205</v>
      </c>
      <c r="F126" s="151">
        <v>80050</v>
      </c>
      <c r="G126" s="151">
        <v>84083</v>
      </c>
    </row>
    <row r="127" spans="1:9">
      <c r="A127" s="149" t="s">
        <v>248</v>
      </c>
      <c r="B127" s="150" t="s">
        <v>109</v>
      </c>
      <c r="C127" s="151">
        <v>97741</v>
      </c>
      <c r="D127" s="151">
        <v>102668</v>
      </c>
      <c r="E127" s="151">
        <v>107845</v>
      </c>
      <c r="F127" s="151">
        <v>113280</v>
      </c>
      <c r="G127" s="151">
        <v>118997</v>
      </c>
    </row>
    <row r="128" spans="1:9">
      <c r="A128" s="149" t="s">
        <v>249</v>
      </c>
      <c r="B128" s="150" t="s">
        <v>122</v>
      </c>
      <c r="C128" s="151">
        <v>106598</v>
      </c>
      <c r="D128" s="151">
        <v>111971</v>
      </c>
      <c r="E128" s="151">
        <v>117617</v>
      </c>
      <c r="F128" s="151">
        <v>123550</v>
      </c>
      <c r="G128" s="151">
        <v>129778</v>
      </c>
    </row>
    <row r="129" spans="1:7">
      <c r="A129" s="149" t="s">
        <v>250</v>
      </c>
      <c r="B129" s="150" t="s">
        <v>109</v>
      </c>
      <c r="C129" s="151">
        <v>97741</v>
      </c>
      <c r="D129" s="151">
        <v>102668</v>
      </c>
      <c r="E129" s="151">
        <v>107845</v>
      </c>
      <c r="F129" s="151">
        <v>113280</v>
      </c>
      <c r="G129" s="151">
        <v>118997</v>
      </c>
    </row>
    <row r="130" spans="1:7">
      <c r="A130" s="149" t="s">
        <v>251</v>
      </c>
      <c r="B130" s="150" t="s">
        <v>113</v>
      </c>
      <c r="C130" s="151">
        <v>101897</v>
      </c>
      <c r="D130" s="151">
        <v>107032</v>
      </c>
      <c r="E130" s="151">
        <v>112428</v>
      </c>
      <c r="F130" s="151">
        <v>118097</v>
      </c>
      <c r="G130" s="151">
        <v>124051</v>
      </c>
    </row>
    <row r="131" spans="1:7">
      <c r="A131" s="149" t="s">
        <v>252</v>
      </c>
      <c r="B131" s="150" t="s">
        <v>113</v>
      </c>
      <c r="C131" s="151">
        <v>101897</v>
      </c>
      <c r="D131" s="151">
        <v>107032</v>
      </c>
      <c r="E131" s="151">
        <v>112428</v>
      </c>
      <c r="F131" s="151">
        <v>118097</v>
      </c>
      <c r="G131" s="151">
        <v>124051</v>
      </c>
    </row>
    <row r="132" spans="1:7">
      <c r="A132" s="149" t="s">
        <v>253</v>
      </c>
      <c r="B132" s="150" t="s">
        <v>115</v>
      </c>
      <c r="C132" s="151">
        <v>87242</v>
      </c>
      <c r="D132" s="151">
        <v>91643</v>
      </c>
      <c r="E132" s="151">
        <v>96264</v>
      </c>
      <c r="F132" s="151">
        <v>101117</v>
      </c>
      <c r="G132" s="151">
        <v>106216</v>
      </c>
    </row>
    <row r="133" spans="1:7">
      <c r="A133" s="149" t="s">
        <v>254</v>
      </c>
      <c r="B133" s="150" t="s">
        <v>115</v>
      </c>
      <c r="C133" s="151">
        <v>87242</v>
      </c>
      <c r="D133" s="151">
        <v>91643</v>
      </c>
      <c r="E133" s="151">
        <v>96264</v>
      </c>
      <c r="F133" s="151">
        <v>101117</v>
      </c>
      <c r="G133" s="151">
        <v>106216</v>
      </c>
    </row>
    <row r="134" spans="1:7">
      <c r="A134" s="149" t="s">
        <v>255</v>
      </c>
      <c r="B134" s="150" t="s">
        <v>113</v>
      </c>
      <c r="C134" s="151">
        <v>101897</v>
      </c>
      <c r="D134" s="151">
        <v>107032</v>
      </c>
      <c r="E134" s="151">
        <v>112428</v>
      </c>
      <c r="F134" s="151">
        <v>118097</v>
      </c>
      <c r="G134" s="151">
        <v>124051</v>
      </c>
    </row>
    <row r="135" spans="1:7">
      <c r="A135" s="149" t="s">
        <v>256</v>
      </c>
      <c r="B135" s="150" t="s">
        <v>113</v>
      </c>
      <c r="C135" s="151">
        <v>101897</v>
      </c>
      <c r="D135" s="151">
        <v>107032</v>
      </c>
      <c r="E135" s="151">
        <v>112428</v>
      </c>
      <c r="F135" s="151">
        <v>118097</v>
      </c>
      <c r="G135" s="151">
        <v>124051</v>
      </c>
    </row>
    <row r="136" spans="1:7">
      <c r="A136" s="149" t="s">
        <v>257</v>
      </c>
      <c r="B136" s="150" t="s">
        <v>115</v>
      </c>
      <c r="C136" s="151">
        <v>87242</v>
      </c>
      <c r="D136" s="151">
        <v>91643</v>
      </c>
      <c r="E136" s="151">
        <v>96264</v>
      </c>
      <c r="F136" s="151">
        <v>101117</v>
      </c>
      <c r="G136" s="151">
        <v>106216</v>
      </c>
    </row>
    <row r="137" spans="1:7">
      <c r="A137" s="149" t="s">
        <v>258</v>
      </c>
      <c r="B137" s="150" t="s">
        <v>109</v>
      </c>
      <c r="C137" s="151">
        <v>97741</v>
      </c>
      <c r="D137" s="151">
        <v>102668</v>
      </c>
      <c r="E137" s="151">
        <v>107845</v>
      </c>
      <c r="F137" s="151">
        <v>113280</v>
      </c>
      <c r="G137" s="151">
        <v>118997</v>
      </c>
    </row>
    <row r="138" spans="1:7">
      <c r="A138" s="149" t="s">
        <v>259</v>
      </c>
      <c r="B138" s="150" t="s">
        <v>109</v>
      </c>
      <c r="C138" s="151">
        <v>97741</v>
      </c>
      <c r="D138" s="151">
        <v>102668</v>
      </c>
      <c r="E138" s="151">
        <v>107845</v>
      </c>
      <c r="F138" s="151">
        <v>113280</v>
      </c>
      <c r="G138" s="151">
        <v>118997</v>
      </c>
    </row>
    <row r="139" spans="1:7">
      <c r="A139" s="149" t="s">
        <v>260</v>
      </c>
      <c r="B139" s="150" t="s">
        <v>107</v>
      </c>
      <c r="C139" s="151">
        <v>111626</v>
      </c>
      <c r="D139" s="151">
        <v>117254</v>
      </c>
      <c r="E139" s="151">
        <v>123165</v>
      </c>
      <c r="F139" s="151">
        <v>129375</v>
      </c>
      <c r="G139" s="151">
        <v>135900</v>
      </c>
    </row>
    <row r="140" spans="1:7">
      <c r="A140" s="149" t="s">
        <v>261</v>
      </c>
      <c r="B140" s="150" t="s">
        <v>117</v>
      </c>
      <c r="C140" s="151">
        <v>90413</v>
      </c>
      <c r="D140" s="151">
        <v>94974</v>
      </c>
      <c r="E140" s="151">
        <v>99764</v>
      </c>
      <c r="F140" s="151">
        <v>104792</v>
      </c>
      <c r="G140" s="151">
        <v>110077</v>
      </c>
    </row>
    <row r="141" spans="1:7">
      <c r="A141" s="149" t="s">
        <v>262</v>
      </c>
      <c r="B141" s="150" t="s">
        <v>115</v>
      </c>
      <c r="C141" s="151">
        <v>87242</v>
      </c>
      <c r="D141" s="151">
        <v>91643</v>
      </c>
      <c r="E141" s="151">
        <v>96264</v>
      </c>
      <c r="F141" s="151">
        <v>101117</v>
      </c>
      <c r="G141" s="151">
        <v>106216</v>
      </c>
    </row>
    <row r="142" spans="1:7">
      <c r="A142" s="149" t="s">
        <v>263</v>
      </c>
      <c r="B142" s="150" t="s">
        <v>145</v>
      </c>
      <c r="C142" s="151">
        <v>72701</v>
      </c>
      <c r="D142" s="151">
        <v>76367</v>
      </c>
      <c r="E142" s="151">
        <v>80218</v>
      </c>
      <c r="F142" s="151">
        <v>84261</v>
      </c>
      <c r="G142" s="151">
        <v>88510</v>
      </c>
    </row>
    <row r="143" spans="1:7">
      <c r="A143" s="149" t="s">
        <v>264</v>
      </c>
      <c r="B143" s="150" t="s">
        <v>124</v>
      </c>
      <c r="C143" s="151">
        <v>93914</v>
      </c>
      <c r="D143" s="151">
        <v>98649</v>
      </c>
      <c r="E143" s="151">
        <v>103625</v>
      </c>
      <c r="F143" s="151">
        <v>108849</v>
      </c>
      <c r="G143" s="151">
        <v>114337</v>
      </c>
    </row>
    <row r="144" spans="1:7">
      <c r="A144" s="149" t="s">
        <v>265</v>
      </c>
      <c r="B144" s="150" t="s">
        <v>122</v>
      </c>
      <c r="C144" s="151">
        <v>106598</v>
      </c>
      <c r="D144" s="151">
        <v>111971</v>
      </c>
      <c r="E144" s="151">
        <v>117617</v>
      </c>
      <c r="F144" s="151">
        <v>123550</v>
      </c>
      <c r="G144" s="151">
        <v>129778</v>
      </c>
    </row>
    <row r="145" spans="1:7">
      <c r="A145" s="149" t="s">
        <v>266</v>
      </c>
      <c r="B145" s="150" t="s">
        <v>122</v>
      </c>
      <c r="C145" s="151">
        <v>106598</v>
      </c>
      <c r="D145" s="151">
        <v>111971</v>
      </c>
      <c r="E145" s="151">
        <v>117617</v>
      </c>
      <c r="F145" s="151">
        <v>123550</v>
      </c>
      <c r="G145" s="151">
        <v>129778</v>
      </c>
    </row>
    <row r="146" spans="1:7">
      <c r="A146" s="149" t="s">
        <v>267</v>
      </c>
      <c r="B146" s="150" t="s">
        <v>113</v>
      </c>
      <c r="C146" s="151">
        <v>101897</v>
      </c>
      <c r="D146" s="151">
        <v>107032</v>
      </c>
      <c r="E146" s="151">
        <v>112428</v>
      </c>
      <c r="F146" s="151">
        <v>118097</v>
      </c>
      <c r="G146" s="151">
        <v>124051</v>
      </c>
    </row>
    <row r="147" spans="1:7">
      <c r="A147" s="149" t="s">
        <v>268</v>
      </c>
      <c r="B147" s="150" t="s">
        <v>124</v>
      </c>
      <c r="C147" s="151">
        <v>93914</v>
      </c>
      <c r="D147" s="151">
        <v>98649</v>
      </c>
      <c r="E147" s="151">
        <v>103625</v>
      </c>
      <c r="F147" s="151">
        <v>108849</v>
      </c>
      <c r="G147" s="151">
        <v>114337</v>
      </c>
    </row>
    <row r="148" spans="1:7">
      <c r="A148" s="149" t="s">
        <v>269</v>
      </c>
      <c r="B148" s="150" t="s">
        <v>109</v>
      </c>
      <c r="C148" s="151">
        <v>97741</v>
      </c>
      <c r="D148" s="151">
        <v>102668</v>
      </c>
      <c r="E148" s="151">
        <v>107845</v>
      </c>
      <c r="F148" s="151">
        <v>113280</v>
      </c>
      <c r="G148" s="151">
        <v>118997</v>
      </c>
    </row>
    <row r="149" spans="1:7">
      <c r="A149" s="149" t="s">
        <v>270</v>
      </c>
      <c r="B149" s="150" t="s">
        <v>109</v>
      </c>
      <c r="C149" s="151">
        <v>97741</v>
      </c>
      <c r="D149" s="151">
        <v>102668</v>
      </c>
      <c r="E149" s="151">
        <v>107845</v>
      </c>
      <c r="F149" s="151">
        <v>113280</v>
      </c>
      <c r="G149" s="151">
        <v>118997</v>
      </c>
    </row>
    <row r="150" spans="1:7">
      <c r="A150" s="149" t="s">
        <v>271</v>
      </c>
      <c r="B150" s="150" t="s">
        <v>122</v>
      </c>
      <c r="C150" s="151">
        <v>106598</v>
      </c>
      <c r="D150" s="151">
        <v>111971</v>
      </c>
      <c r="E150" s="151">
        <v>117617</v>
      </c>
      <c r="F150" s="151">
        <v>123550</v>
      </c>
      <c r="G150" s="151">
        <v>129778</v>
      </c>
    </row>
    <row r="151" spans="1:7">
      <c r="A151" s="149" t="s">
        <v>272</v>
      </c>
      <c r="B151" s="150" t="s">
        <v>109</v>
      </c>
      <c r="C151" s="151">
        <v>97741</v>
      </c>
      <c r="D151" s="151">
        <v>102668</v>
      </c>
      <c r="E151" s="151">
        <v>107845</v>
      </c>
      <c r="F151" s="151">
        <v>113280</v>
      </c>
      <c r="G151" s="151">
        <v>118997</v>
      </c>
    </row>
    <row r="152" spans="1:7">
      <c r="A152" s="149" t="s">
        <v>273</v>
      </c>
      <c r="B152" s="150" t="s">
        <v>117</v>
      </c>
      <c r="C152" s="151">
        <v>90413</v>
      </c>
      <c r="D152" s="151">
        <v>94974</v>
      </c>
      <c r="E152" s="151">
        <v>99764</v>
      </c>
      <c r="F152" s="151">
        <v>104792</v>
      </c>
      <c r="G152" s="151">
        <v>110077</v>
      </c>
    </row>
    <row r="153" spans="1:7">
      <c r="A153" s="149" t="s">
        <v>274</v>
      </c>
      <c r="B153" s="150" t="s">
        <v>145</v>
      </c>
      <c r="C153" s="151">
        <v>72701</v>
      </c>
      <c r="D153" s="151">
        <v>76367</v>
      </c>
      <c r="E153" s="151">
        <v>80218</v>
      </c>
      <c r="F153" s="151">
        <v>84261</v>
      </c>
      <c r="G153" s="151">
        <v>88510</v>
      </c>
    </row>
    <row r="154" spans="1:7">
      <c r="A154" s="149" t="s">
        <v>275</v>
      </c>
      <c r="B154" s="150" t="s">
        <v>109</v>
      </c>
      <c r="C154" s="151">
        <v>97741</v>
      </c>
      <c r="D154" s="151">
        <v>102668</v>
      </c>
      <c r="E154" s="151">
        <v>107845</v>
      </c>
      <c r="F154" s="151">
        <v>113280</v>
      </c>
      <c r="G154" s="151">
        <v>118997</v>
      </c>
    </row>
    <row r="155" spans="1:7">
      <c r="A155" s="149" t="s">
        <v>276</v>
      </c>
      <c r="B155" s="150" t="s">
        <v>109</v>
      </c>
      <c r="C155" s="151">
        <v>97741</v>
      </c>
      <c r="D155" s="151">
        <v>102668</v>
      </c>
      <c r="E155" s="151">
        <v>107845</v>
      </c>
      <c r="F155" s="151">
        <v>113280</v>
      </c>
      <c r="G155" s="151">
        <v>118997</v>
      </c>
    </row>
    <row r="156" spans="1:7">
      <c r="A156" s="149" t="s">
        <v>277</v>
      </c>
      <c r="B156" s="150" t="s">
        <v>128</v>
      </c>
      <c r="C156" s="151">
        <v>130490</v>
      </c>
      <c r="D156" s="151">
        <v>137072</v>
      </c>
      <c r="E156" s="151">
        <v>143980</v>
      </c>
      <c r="F156" s="151">
        <v>151240</v>
      </c>
      <c r="G156" s="151">
        <v>158870</v>
      </c>
    </row>
    <row r="157" spans="1:7">
      <c r="A157" s="149" t="s">
        <v>278</v>
      </c>
      <c r="B157" s="150" t="s">
        <v>137</v>
      </c>
      <c r="C157" s="151">
        <v>163498</v>
      </c>
      <c r="D157" s="151">
        <v>171743</v>
      </c>
      <c r="E157" s="151">
        <v>180403</v>
      </c>
      <c r="F157" s="151">
        <v>189497</v>
      </c>
      <c r="G157" s="151">
        <v>199054</v>
      </c>
    </row>
    <row r="158" spans="1:7">
      <c r="A158" s="149" t="s">
        <v>279</v>
      </c>
      <c r="B158" s="150" t="s">
        <v>137</v>
      </c>
      <c r="C158" s="151">
        <v>163498</v>
      </c>
      <c r="D158" s="151">
        <v>171743</v>
      </c>
      <c r="E158" s="151">
        <v>180403</v>
      </c>
      <c r="F158" s="151">
        <v>189497</v>
      </c>
      <c r="G158" s="151">
        <v>199054</v>
      </c>
    </row>
    <row r="159" spans="1:7">
      <c r="A159" s="149" t="s">
        <v>280</v>
      </c>
      <c r="B159" s="150" t="s">
        <v>137</v>
      </c>
      <c r="C159" s="151">
        <v>163498</v>
      </c>
      <c r="D159" s="151">
        <v>171743</v>
      </c>
      <c r="E159" s="151">
        <v>180403</v>
      </c>
      <c r="F159" s="151">
        <v>189497</v>
      </c>
      <c r="G159" s="151">
        <v>199054</v>
      </c>
    </row>
    <row r="160" spans="1:7">
      <c r="A160" s="149" t="s">
        <v>281</v>
      </c>
      <c r="B160" s="150" t="s">
        <v>137</v>
      </c>
      <c r="C160" s="151">
        <v>163498</v>
      </c>
      <c r="D160" s="151">
        <v>171743</v>
      </c>
      <c r="E160" s="151">
        <v>180403</v>
      </c>
      <c r="F160" s="151">
        <v>189497</v>
      </c>
      <c r="G160" s="151">
        <v>199054</v>
      </c>
    </row>
    <row r="161" spans="1:7">
      <c r="A161" s="149" t="s">
        <v>282</v>
      </c>
      <c r="B161" s="150" t="s">
        <v>137</v>
      </c>
      <c r="C161" s="151">
        <v>163498</v>
      </c>
      <c r="D161" s="151">
        <v>171743</v>
      </c>
      <c r="E161" s="151">
        <v>180403</v>
      </c>
      <c r="F161" s="151">
        <v>189497</v>
      </c>
      <c r="G161" s="151">
        <v>199054</v>
      </c>
    </row>
    <row r="162" spans="1:7">
      <c r="A162" s="149" t="s">
        <v>283</v>
      </c>
      <c r="B162" s="150" t="s">
        <v>145</v>
      </c>
      <c r="C162" s="151">
        <v>72701</v>
      </c>
      <c r="D162" s="151">
        <v>76367</v>
      </c>
      <c r="E162" s="151">
        <v>80218</v>
      </c>
      <c r="F162" s="151">
        <v>84261</v>
      </c>
      <c r="G162" s="151">
        <v>88510</v>
      </c>
    </row>
  </sheetData>
  <pageMargins left="0.7" right="0.7" top="0.75" bottom="0.75" header="0.3" footer="0.3"/>
  <pageSetup scale="3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499984740745262"/>
  </sheetPr>
  <dimension ref="A1:L282"/>
  <sheetViews>
    <sheetView topLeftCell="A2" workbookViewId="0">
      <selection activeCell="A282" sqref="A282"/>
    </sheetView>
  </sheetViews>
  <sheetFormatPr defaultRowHeight="12.75"/>
  <cols>
    <col min="1" max="1" width="51.7109375" customWidth="1"/>
  </cols>
  <sheetData>
    <row r="1" spans="1:9">
      <c r="A1" s="87" t="s">
        <v>284</v>
      </c>
      <c r="B1" s="87" t="s">
        <v>285</v>
      </c>
      <c r="C1" s="87" t="s">
        <v>286</v>
      </c>
      <c r="D1" s="87" t="s">
        <v>287</v>
      </c>
      <c r="E1" s="87" t="s">
        <v>288</v>
      </c>
      <c r="F1" s="87" t="s">
        <v>289</v>
      </c>
      <c r="G1" s="88" t="s">
        <v>290</v>
      </c>
    </row>
    <row r="2" spans="1:9" ht="15" customHeight="1">
      <c r="A2" s="89" t="s">
        <v>291</v>
      </c>
      <c r="B2" s="90" t="s">
        <v>292</v>
      </c>
      <c r="C2" s="411">
        <v>61704</v>
      </c>
      <c r="D2" s="411">
        <v>64824</v>
      </c>
      <c r="E2" s="411">
        <v>68124</v>
      </c>
      <c r="F2" s="411">
        <v>71520</v>
      </c>
      <c r="G2" s="411">
        <v>75120</v>
      </c>
      <c r="I2" s="145" t="s">
        <v>293</v>
      </c>
    </row>
    <row r="3" spans="1:9" ht="15" customHeight="1">
      <c r="A3" s="409" t="s">
        <v>294</v>
      </c>
      <c r="B3" s="410" t="s">
        <v>145</v>
      </c>
      <c r="C3" s="411">
        <v>68052</v>
      </c>
      <c r="D3" s="411">
        <v>71412</v>
      </c>
      <c r="E3" s="411">
        <v>75060</v>
      </c>
      <c r="F3" s="411">
        <v>78816</v>
      </c>
      <c r="G3" s="411">
        <v>82800</v>
      </c>
    </row>
    <row r="4" spans="1:9" ht="15" customHeight="1">
      <c r="A4" s="409" t="s">
        <v>295</v>
      </c>
      <c r="B4" s="410" t="s">
        <v>115</v>
      </c>
      <c r="C4" s="411">
        <v>74052</v>
      </c>
      <c r="D4" s="411">
        <v>77808</v>
      </c>
      <c r="E4" s="411">
        <v>81708</v>
      </c>
      <c r="F4" s="411">
        <v>85824</v>
      </c>
      <c r="G4" s="411">
        <v>90180</v>
      </c>
    </row>
    <row r="5" spans="1:9" ht="15" customHeight="1">
      <c r="A5" s="409" t="s">
        <v>296</v>
      </c>
      <c r="B5" s="410" t="s">
        <v>297</v>
      </c>
      <c r="C5" s="411">
        <v>46800</v>
      </c>
      <c r="D5" s="411">
        <v>49164</v>
      </c>
      <c r="E5" s="411">
        <v>51636</v>
      </c>
      <c r="F5" s="411">
        <v>54216</v>
      </c>
      <c r="G5" s="411">
        <v>56976</v>
      </c>
    </row>
    <row r="6" spans="1:9" ht="15" customHeight="1">
      <c r="A6" s="409" t="s">
        <v>298</v>
      </c>
      <c r="B6" s="410" t="s">
        <v>292</v>
      </c>
      <c r="C6" s="411">
        <v>61704</v>
      </c>
      <c r="D6" s="411">
        <v>64824</v>
      </c>
      <c r="E6" s="411">
        <v>68124</v>
      </c>
      <c r="F6" s="411">
        <v>71520</v>
      </c>
      <c r="G6" s="411">
        <v>75120</v>
      </c>
    </row>
    <row r="7" spans="1:9" ht="15" customHeight="1">
      <c r="A7" s="409" t="s">
        <v>299</v>
      </c>
      <c r="B7" s="410" t="s">
        <v>152</v>
      </c>
      <c r="C7" s="411">
        <v>71076</v>
      </c>
      <c r="D7" s="411">
        <v>74640</v>
      </c>
      <c r="E7" s="411">
        <v>78444</v>
      </c>
      <c r="F7" s="411">
        <v>82344</v>
      </c>
      <c r="G7" s="411">
        <v>86532</v>
      </c>
    </row>
    <row r="8" spans="1:9" ht="15" customHeight="1">
      <c r="A8" s="409" t="s">
        <v>300</v>
      </c>
      <c r="B8" s="410" t="s">
        <v>301</v>
      </c>
      <c r="C8" s="411">
        <v>51300</v>
      </c>
      <c r="D8" s="411">
        <v>53880</v>
      </c>
      <c r="E8" s="411">
        <v>56616</v>
      </c>
      <c r="F8" s="411">
        <v>59436</v>
      </c>
      <c r="G8" s="411">
        <v>62436</v>
      </c>
    </row>
    <row r="9" spans="1:9" ht="15" customHeight="1">
      <c r="A9" s="409" t="s">
        <v>302</v>
      </c>
      <c r="B9" s="410" t="s">
        <v>303</v>
      </c>
      <c r="C9" s="411">
        <v>56496</v>
      </c>
      <c r="D9" s="411">
        <v>59352</v>
      </c>
      <c r="E9" s="411">
        <v>62328</v>
      </c>
      <c r="F9" s="411">
        <v>65472</v>
      </c>
      <c r="G9" s="411">
        <v>68796</v>
      </c>
    </row>
    <row r="10" spans="1:9" ht="15" customHeight="1">
      <c r="A10" s="409" t="s">
        <v>304</v>
      </c>
      <c r="B10" s="410" t="s">
        <v>111</v>
      </c>
      <c r="C10" s="411">
        <v>65400</v>
      </c>
      <c r="D10" s="411">
        <v>68676</v>
      </c>
      <c r="E10" s="411">
        <v>72168</v>
      </c>
      <c r="F10" s="411">
        <v>75804</v>
      </c>
      <c r="G10" s="411">
        <v>79608</v>
      </c>
    </row>
    <row r="11" spans="1:9" ht="15" customHeight="1">
      <c r="A11" s="409" t="s">
        <v>305</v>
      </c>
      <c r="B11" s="410" t="s">
        <v>297</v>
      </c>
      <c r="C11" s="411">
        <v>46800</v>
      </c>
      <c r="D11" s="411">
        <v>49164</v>
      </c>
      <c r="E11" s="411">
        <v>51636</v>
      </c>
      <c r="F11" s="411">
        <v>54216</v>
      </c>
      <c r="G11" s="411">
        <v>56976</v>
      </c>
    </row>
    <row r="12" spans="1:9" ht="15" customHeight="1">
      <c r="A12" s="409" t="s">
        <v>306</v>
      </c>
      <c r="B12" s="410" t="s">
        <v>301</v>
      </c>
      <c r="C12" s="411">
        <v>51300</v>
      </c>
      <c r="D12" s="411">
        <v>53880</v>
      </c>
      <c r="E12" s="411">
        <v>56616</v>
      </c>
      <c r="F12" s="411">
        <v>59436</v>
      </c>
      <c r="G12" s="411">
        <v>62436</v>
      </c>
    </row>
    <row r="13" spans="1:9" ht="15" customHeight="1">
      <c r="A13" s="409" t="s">
        <v>307</v>
      </c>
      <c r="B13" s="410" t="s">
        <v>303</v>
      </c>
      <c r="C13" s="411">
        <v>56496</v>
      </c>
      <c r="D13" s="411">
        <v>59352</v>
      </c>
      <c r="E13" s="411">
        <v>62328</v>
      </c>
      <c r="F13" s="411">
        <v>65472</v>
      </c>
      <c r="G13" s="411">
        <v>68796</v>
      </c>
    </row>
    <row r="14" spans="1:9" ht="15" customHeight="1">
      <c r="A14" s="409" t="s">
        <v>308</v>
      </c>
      <c r="B14" s="410" t="s">
        <v>292</v>
      </c>
      <c r="C14" s="411">
        <v>61704</v>
      </c>
      <c r="D14" s="411">
        <v>64824</v>
      </c>
      <c r="E14" s="411">
        <v>68124</v>
      </c>
      <c r="F14" s="411">
        <v>71520</v>
      </c>
      <c r="G14" s="411">
        <v>75120</v>
      </c>
    </row>
    <row r="15" spans="1:9" ht="15" customHeight="1">
      <c r="A15" s="409" t="s">
        <v>309</v>
      </c>
      <c r="B15" s="410" t="s">
        <v>310</v>
      </c>
      <c r="C15" s="411">
        <v>42780</v>
      </c>
      <c r="D15" s="411">
        <v>44952</v>
      </c>
      <c r="E15" s="411">
        <v>47232</v>
      </c>
      <c r="F15" s="411">
        <v>49596</v>
      </c>
      <c r="G15" s="411">
        <v>52092</v>
      </c>
    </row>
    <row r="16" spans="1:9" ht="15" customHeight="1">
      <c r="A16" s="409" t="s">
        <v>311</v>
      </c>
      <c r="B16" s="410" t="s">
        <v>312</v>
      </c>
      <c r="C16" s="411">
        <v>86088</v>
      </c>
      <c r="D16" s="411">
        <v>90420</v>
      </c>
      <c r="E16" s="411">
        <v>94980</v>
      </c>
      <c r="F16" s="411">
        <v>99780</v>
      </c>
      <c r="G16" s="411">
        <v>104784</v>
      </c>
    </row>
    <row r="17" spans="1:7" ht="15" customHeight="1">
      <c r="A17" s="409" t="s">
        <v>313</v>
      </c>
      <c r="B17" s="410" t="s">
        <v>314</v>
      </c>
      <c r="C17" s="411">
        <v>67644</v>
      </c>
      <c r="D17" s="411">
        <v>71040</v>
      </c>
      <c r="E17" s="411">
        <v>74664</v>
      </c>
      <c r="F17" s="411">
        <v>78372</v>
      </c>
      <c r="G17" s="411">
        <v>82356</v>
      </c>
    </row>
    <row r="18" spans="1:7" ht="15" customHeight="1">
      <c r="A18" s="409" t="s">
        <v>315</v>
      </c>
      <c r="B18" s="410" t="s">
        <v>111</v>
      </c>
      <c r="C18" s="411">
        <v>65400</v>
      </c>
      <c r="D18" s="411">
        <v>68676</v>
      </c>
      <c r="E18" s="411">
        <v>72168</v>
      </c>
      <c r="F18" s="411">
        <v>75804</v>
      </c>
      <c r="G18" s="411">
        <v>79608</v>
      </c>
    </row>
    <row r="19" spans="1:7" ht="15" customHeight="1">
      <c r="A19" s="409" t="s">
        <v>316</v>
      </c>
      <c r="B19" s="410" t="s">
        <v>145</v>
      </c>
      <c r="C19" s="411">
        <v>68052</v>
      </c>
      <c r="D19" s="411">
        <v>71412</v>
      </c>
      <c r="E19" s="411">
        <v>75060</v>
      </c>
      <c r="F19" s="411">
        <v>78816</v>
      </c>
      <c r="G19" s="411">
        <v>82800</v>
      </c>
    </row>
    <row r="20" spans="1:7" ht="15" customHeight="1">
      <c r="A20" s="409" t="s">
        <v>317</v>
      </c>
      <c r="B20" s="410" t="s">
        <v>109</v>
      </c>
      <c r="C20" s="411">
        <v>85896</v>
      </c>
      <c r="D20" s="411">
        <v>90252</v>
      </c>
      <c r="E20" s="411">
        <v>94776</v>
      </c>
      <c r="F20" s="411">
        <v>99540</v>
      </c>
      <c r="G20" s="411">
        <v>104544</v>
      </c>
    </row>
    <row r="21" spans="1:7" ht="15" customHeight="1">
      <c r="A21" s="409" t="s">
        <v>318</v>
      </c>
      <c r="B21" s="410" t="s">
        <v>301</v>
      </c>
      <c r="C21" s="411">
        <v>51300</v>
      </c>
      <c r="D21" s="411">
        <v>53880</v>
      </c>
      <c r="E21" s="411">
        <v>56616</v>
      </c>
      <c r="F21" s="411">
        <v>59436</v>
      </c>
      <c r="G21" s="411">
        <v>62436</v>
      </c>
    </row>
    <row r="22" spans="1:7" ht="15" customHeight="1">
      <c r="A22" s="409" t="s">
        <v>319</v>
      </c>
      <c r="B22" s="410" t="s">
        <v>292</v>
      </c>
      <c r="C22" s="411">
        <v>61704</v>
      </c>
      <c r="D22" s="411">
        <v>64824</v>
      </c>
      <c r="E22" s="411">
        <v>68124</v>
      </c>
      <c r="F22" s="411">
        <v>71520</v>
      </c>
      <c r="G22" s="411">
        <v>75120</v>
      </c>
    </row>
    <row r="23" spans="1:7" ht="15" customHeight="1">
      <c r="A23" s="409" t="s">
        <v>320</v>
      </c>
      <c r="B23" s="410" t="s">
        <v>303</v>
      </c>
      <c r="C23" s="411">
        <v>56496</v>
      </c>
      <c r="D23" s="411">
        <v>59352</v>
      </c>
      <c r="E23" s="411">
        <v>62328</v>
      </c>
      <c r="F23" s="411">
        <v>65472</v>
      </c>
      <c r="G23" s="411">
        <v>68796</v>
      </c>
    </row>
    <row r="24" spans="1:7" ht="15" customHeight="1">
      <c r="A24" s="409" t="s">
        <v>321</v>
      </c>
      <c r="B24" s="410" t="s">
        <v>301</v>
      </c>
      <c r="C24" s="411">
        <v>51300</v>
      </c>
      <c r="D24" s="411">
        <v>53880</v>
      </c>
      <c r="E24" s="411">
        <v>56616</v>
      </c>
      <c r="F24" s="411">
        <v>59436</v>
      </c>
      <c r="G24" s="411">
        <v>62436</v>
      </c>
    </row>
    <row r="25" spans="1:7" ht="15" customHeight="1">
      <c r="A25" s="409" t="s">
        <v>322</v>
      </c>
      <c r="B25" s="410" t="s">
        <v>323</v>
      </c>
      <c r="C25" s="411">
        <v>48924</v>
      </c>
      <c r="D25" s="411">
        <v>51444</v>
      </c>
      <c r="E25" s="411">
        <v>53988</v>
      </c>
      <c r="F25" s="411">
        <v>56712</v>
      </c>
      <c r="G25" s="411">
        <v>59580</v>
      </c>
    </row>
    <row r="26" spans="1:7" ht="15" customHeight="1">
      <c r="A26" s="409" t="s">
        <v>324</v>
      </c>
      <c r="B26" s="410" t="s">
        <v>303</v>
      </c>
      <c r="C26" s="411">
        <v>56496</v>
      </c>
      <c r="D26" s="411">
        <v>59352</v>
      </c>
      <c r="E26" s="411">
        <v>62328</v>
      </c>
      <c r="F26" s="411">
        <v>65472</v>
      </c>
      <c r="G26" s="411">
        <v>68796</v>
      </c>
    </row>
    <row r="27" spans="1:7" ht="15" customHeight="1">
      <c r="A27" s="409" t="s">
        <v>325</v>
      </c>
      <c r="B27" s="410" t="s">
        <v>145</v>
      </c>
      <c r="C27" s="411">
        <v>68052</v>
      </c>
      <c r="D27" s="411">
        <v>71412</v>
      </c>
      <c r="E27" s="411">
        <v>75060</v>
      </c>
      <c r="F27" s="411">
        <v>78816</v>
      </c>
      <c r="G27" s="411">
        <v>82800</v>
      </c>
    </row>
    <row r="28" spans="1:7" ht="15" customHeight="1">
      <c r="A28" s="409" t="s">
        <v>326</v>
      </c>
      <c r="B28" s="410" t="s">
        <v>327</v>
      </c>
      <c r="C28" s="411">
        <v>54000</v>
      </c>
      <c r="D28" s="411">
        <v>56736</v>
      </c>
      <c r="E28" s="411">
        <v>59616</v>
      </c>
      <c r="F28" s="411">
        <v>62580</v>
      </c>
      <c r="G28" s="411">
        <v>65736</v>
      </c>
    </row>
    <row r="29" spans="1:7" ht="15" customHeight="1">
      <c r="A29" s="409" t="s">
        <v>328</v>
      </c>
      <c r="B29" s="410" t="s">
        <v>301</v>
      </c>
      <c r="C29" s="411">
        <v>51300</v>
      </c>
      <c r="D29" s="411">
        <v>53880</v>
      </c>
      <c r="E29" s="411">
        <v>56616</v>
      </c>
      <c r="F29" s="411">
        <v>59436</v>
      </c>
      <c r="G29" s="411">
        <v>62436</v>
      </c>
    </row>
    <row r="30" spans="1:7" ht="15" customHeight="1">
      <c r="A30" s="409" t="s">
        <v>329</v>
      </c>
      <c r="B30" s="410" t="s">
        <v>297</v>
      </c>
      <c r="C30" s="411">
        <v>46800</v>
      </c>
      <c r="D30" s="411">
        <v>49164</v>
      </c>
      <c r="E30" s="411">
        <v>51636</v>
      </c>
      <c r="F30" s="411">
        <v>54216</v>
      </c>
      <c r="G30" s="411">
        <v>56976</v>
      </c>
    </row>
    <row r="31" spans="1:7" ht="15" customHeight="1">
      <c r="A31" s="409" t="s">
        <v>330</v>
      </c>
      <c r="B31" s="410" t="s">
        <v>115</v>
      </c>
      <c r="C31" s="411">
        <v>74052</v>
      </c>
      <c r="D31" s="411">
        <v>77808</v>
      </c>
      <c r="E31" s="411">
        <v>81708</v>
      </c>
      <c r="F31" s="411">
        <v>85824</v>
      </c>
      <c r="G31" s="411">
        <v>90180</v>
      </c>
    </row>
    <row r="32" spans="1:7" ht="15" customHeight="1">
      <c r="A32" s="409" t="s">
        <v>331</v>
      </c>
      <c r="B32" s="410" t="s">
        <v>292</v>
      </c>
      <c r="C32" s="411">
        <v>61704</v>
      </c>
      <c r="D32" s="411">
        <v>64824</v>
      </c>
      <c r="E32" s="411">
        <v>68124</v>
      </c>
      <c r="F32" s="411">
        <v>71520</v>
      </c>
      <c r="G32" s="411">
        <v>75120</v>
      </c>
    </row>
    <row r="33" spans="1:8" ht="15" customHeight="1">
      <c r="A33" s="409" t="s">
        <v>332</v>
      </c>
      <c r="B33" s="410" t="s">
        <v>303</v>
      </c>
      <c r="C33" s="411">
        <v>56496</v>
      </c>
      <c r="D33" s="411">
        <v>59352</v>
      </c>
      <c r="E33" s="411">
        <v>62328</v>
      </c>
      <c r="F33" s="411">
        <v>65472</v>
      </c>
      <c r="G33" s="411">
        <v>68796</v>
      </c>
    </row>
    <row r="34" spans="1:8" ht="15" customHeight="1">
      <c r="A34" s="409" t="s">
        <v>333</v>
      </c>
      <c r="B34" s="410" t="s">
        <v>122</v>
      </c>
      <c r="C34" s="411">
        <v>95688</v>
      </c>
      <c r="D34" s="411">
        <v>100512</v>
      </c>
      <c r="E34" s="411">
        <v>105588</v>
      </c>
      <c r="F34" s="411">
        <v>110892</v>
      </c>
      <c r="G34" s="411">
        <v>116460</v>
      </c>
    </row>
    <row r="35" spans="1:8" ht="15" customHeight="1">
      <c r="A35" s="409" t="s">
        <v>334</v>
      </c>
      <c r="B35" s="410" t="s">
        <v>115</v>
      </c>
      <c r="C35" s="411">
        <v>74052</v>
      </c>
      <c r="D35" s="411">
        <v>77808</v>
      </c>
      <c r="E35" s="411">
        <v>81708</v>
      </c>
      <c r="F35" s="411">
        <v>85824</v>
      </c>
      <c r="G35" s="411">
        <v>90180</v>
      </c>
    </row>
    <row r="36" spans="1:8" s="131" customFormat="1" ht="15" customHeight="1">
      <c r="A36" s="409" t="s">
        <v>335</v>
      </c>
      <c r="B36" s="410" t="s">
        <v>292</v>
      </c>
      <c r="C36" s="411">
        <v>61704</v>
      </c>
      <c r="D36" s="411">
        <v>64824</v>
      </c>
      <c r="E36" s="411">
        <v>68124</v>
      </c>
      <c r="F36" s="411">
        <v>71520</v>
      </c>
      <c r="G36" s="411">
        <v>75120</v>
      </c>
      <c r="H36"/>
    </row>
    <row r="37" spans="1:8" ht="15" customHeight="1">
      <c r="A37" s="409" t="s">
        <v>336</v>
      </c>
      <c r="B37" s="410" t="s">
        <v>297</v>
      </c>
      <c r="C37" s="411">
        <v>46800</v>
      </c>
      <c r="D37" s="411">
        <v>49164</v>
      </c>
      <c r="E37" s="411">
        <v>51636</v>
      </c>
      <c r="F37" s="411">
        <v>54216</v>
      </c>
      <c r="G37" s="411">
        <v>56976</v>
      </c>
    </row>
    <row r="38" spans="1:8" ht="15" customHeight="1">
      <c r="A38" s="409" t="s">
        <v>337</v>
      </c>
      <c r="B38" s="410" t="s">
        <v>292</v>
      </c>
      <c r="C38" s="411">
        <v>61704</v>
      </c>
      <c r="D38" s="411">
        <v>64824</v>
      </c>
      <c r="E38" s="411">
        <v>68124</v>
      </c>
      <c r="F38" s="411">
        <v>71520</v>
      </c>
      <c r="G38" s="411">
        <v>75120</v>
      </c>
    </row>
    <row r="39" spans="1:8" ht="15" customHeight="1">
      <c r="A39" s="409" t="s">
        <v>338</v>
      </c>
      <c r="B39" s="410" t="s">
        <v>117</v>
      </c>
      <c r="C39" s="411">
        <v>77616</v>
      </c>
      <c r="D39" s="411">
        <v>81528</v>
      </c>
      <c r="E39" s="411">
        <v>85632</v>
      </c>
      <c r="F39" s="411">
        <v>89964</v>
      </c>
      <c r="G39" s="411">
        <v>94500</v>
      </c>
    </row>
    <row r="40" spans="1:8" ht="15" customHeight="1">
      <c r="A40" s="409" t="s">
        <v>339</v>
      </c>
      <c r="B40" s="410" t="s">
        <v>301</v>
      </c>
      <c r="C40" s="411">
        <v>51300</v>
      </c>
      <c r="D40" s="411">
        <v>53880</v>
      </c>
      <c r="E40" s="411">
        <v>56616</v>
      </c>
      <c r="F40" s="411">
        <v>59436</v>
      </c>
      <c r="G40" s="411">
        <v>62436</v>
      </c>
    </row>
    <row r="41" spans="1:8" ht="15" customHeight="1">
      <c r="A41" s="409" t="s">
        <v>340</v>
      </c>
      <c r="B41" s="410" t="s">
        <v>152</v>
      </c>
      <c r="C41" s="411">
        <v>71076</v>
      </c>
      <c r="D41" s="411">
        <v>74640</v>
      </c>
      <c r="E41" s="411">
        <v>78444</v>
      </c>
      <c r="F41" s="411">
        <v>82344</v>
      </c>
      <c r="G41" s="411">
        <v>86532</v>
      </c>
    </row>
    <row r="42" spans="1:8" ht="15" customHeight="1">
      <c r="A42" s="409" t="s">
        <v>341</v>
      </c>
      <c r="B42" s="410" t="s">
        <v>301</v>
      </c>
      <c r="C42" s="411">
        <v>51300</v>
      </c>
      <c r="D42" s="411">
        <v>53880</v>
      </c>
      <c r="E42" s="411">
        <v>56616</v>
      </c>
      <c r="F42" s="411">
        <v>59436</v>
      </c>
      <c r="G42" s="411">
        <v>62436</v>
      </c>
    </row>
    <row r="43" spans="1:8" ht="15" customHeight="1">
      <c r="A43" s="409" t="s">
        <v>342</v>
      </c>
      <c r="B43" s="410" t="s">
        <v>115</v>
      </c>
      <c r="C43" s="411">
        <v>74052</v>
      </c>
      <c r="D43" s="411">
        <v>77808</v>
      </c>
      <c r="E43" s="411">
        <v>81708</v>
      </c>
      <c r="F43" s="411">
        <v>85824</v>
      </c>
      <c r="G43" s="411">
        <v>90180</v>
      </c>
    </row>
    <row r="44" spans="1:8" ht="15" customHeight="1">
      <c r="A44" s="409" t="s">
        <v>343</v>
      </c>
      <c r="B44" s="410" t="s">
        <v>115</v>
      </c>
      <c r="C44" s="411">
        <v>74052</v>
      </c>
      <c r="D44" s="411">
        <v>77808</v>
      </c>
      <c r="E44" s="411">
        <v>81708</v>
      </c>
      <c r="F44" s="411">
        <v>85824</v>
      </c>
      <c r="G44" s="411">
        <v>90180</v>
      </c>
    </row>
    <row r="45" spans="1:8" ht="15" customHeight="1">
      <c r="A45" s="409" t="s">
        <v>344</v>
      </c>
      <c r="B45" s="410" t="s">
        <v>345</v>
      </c>
      <c r="C45" s="411">
        <v>58980</v>
      </c>
      <c r="D45" s="411">
        <v>61944</v>
      </c>
      <c r="E45" s="411">
        <v>65088</v>
      </c>
      <c r="F45" s="411">
        <v>68340</v>
      </c>
      <c r="G45" s="411">
        <v>71820</v>
      </c>
    </row>
    <row r="46" spans="1:8" ht="15" customHeight="1">
      <c r="A46" s="409" t="s">
        <v>346</v>
      </c>
      <c r="B46" s="410" t="s">
        <v>297</v>
      </c>
      <c r="C46" s="411">
        <v>46800</v>
      </c>
      <c r="D46" s="411">
        <v>49164</v>
      </c>
      <c r="E46" s="411">
        <v>51636</v>
      </c>
      <c r="F46" s="411">
        <v>54216</v>
      </c>
      <c r="G46" s="411">
        <v>56976</v>
      </c>
    </row>
    <row r="47" spans="1:8" ht="15" customHeight="1">
      <c r="A47" s="409" t="s">
        <v>347</v>
      </c>
      <c r="B47" s="410" t="s">
        <v>145</v>
      </c>
      <c r="C47" s="411">
        <v>68052</v>
      </c>
      <c r="D47" s="411">
        <v>71412</v>
      </c>
      <c r="E47" s="411">
        <v>75060</v>
      </c>
      <c r="F47" s="411">
        <v>78816</v>
      </c>
      <c r="G47" s="411">
        <v>82800</v>
      </c>
    </row>
    <row r="48" spans="1:8" ht="15" customHeight="1">
      <c r="A48" s="409" t="s">
        <v>348</v>
      </c>
      <c r="B48" s="410" t="s">
        <v>124</v>
      </c>
      <c r="C48" s="411">
        <v>81564</v>
      </c>
      <c r="D48" s="411">
        <v>85692</v>
      </c>
      <c r="E48" s="411">
        <v>90000</v>
      </c>
      <c r="F48" s="411">
        <v>94548</v>
      </c>
      <c r="G48" s="411">
        <v>99300</v>
      </c>
    </row>
    <row r="49" spans="1:8" s="131" customFormat="1" ht="15" customHeight="1">
      <c r="A49" s="409" t="s">
        <v>349</v>
      </c>
      <c r="B49" s="410" t="s">
        <v>310</v>
      </c>
      <c r="C49" s="411">
        <v>42780</v>
      </c>
      <c r="D49" s="411">
        <v>44952</v>
      </c>
      <c r="E49" s="411">
        <v>47232</v>
      </c>
      <c r="F49" s="411">
        <v>49596</v>
      </c>
      <c r="G49" s="411">
        <v>52092</v>
      </c>
      <c r="H49"/>
    </row>
    <row r="50" spans="1:8" ht="15" customHeight="1">
      <c r="A50" s="409" t="s">
        <v>350</v>
      </c>
      <c r="B50" s="410" t="s">
        <v>115</v>
      </c>
      <c r="C50" s="411">
        <v>74052</v>
      </c>
      <c r="D50" s="411">
        <v>77808</v>
      </c>
      <c r="E50" s="411">
        <v>81708</v>
      </c>
      <c r="F50" s="411">
        <v>85824</v>
      </c>
      <c r="G50" s="411">
        <v>90180</v>
      </c>
    </row>
    <row r="51" spans="1:8" ht="15" customHeight="1">
      <c r="A51" s="409" t="s">
        <v>351</v>
      </c>
      <c r="B51" s="410" t="s">
        <v>301</v>
      </c>
      <c r="C51" s="411">
        <v>51300</v>
      </c>
      <c r="D51" s="411">
        <v>53880</v>
      </c>
      <c r="E51" s="411">
        <v>56616</v>
      </c>
      <c r="F51" s="411">
        <v>59436</v>
      </c>
      <c r="G51" s="411">
        <v>62436</v>
      </c>
    </row>
    <row r="52" spans="1:8" ht="15" customHeight="1">
      <c r="A52" s="409" t="s">
        <v>352</v>
      </c>
      <c r="B52" s="410" t="s">
        <v>297</v>
      </c>
      <c r="C52" s="411">
        <v>46800</v>
      </c>
      <c r="D52" s="411">
        <v>49164</v>
      </c>
      <c r="E52" s="411">
        <v>51636</v>
      </c>
      <c r="F52" s="411">
        <v>54216</v>
      </c>
      <c r="G52" s="411">
        <v>56976</v>
      </c>
    </row>
    <row r="53" spans="1:8" ht="15" customHeight="1">
      <c r="A53" s="409" t="s">
        <v>353</v>
      </c>
      <c r="B53" s="410" t="s">
        <v>301</v>
      </c>
      <c r="C53" s="411">
        <v>51300</v>
      </c>
      <c r="D53" s="411">
        <v>53880</v>
      </c>
      <c r="E53" s="411">
        <v>56616</v>
      </c>
      <c r="F53" s="411">
        <v>59436</v>
      </c>
      <c r="G53" s="411">
        <v>62436</v>
      </c>
    </row>
    <row r="54" spans="1:8" ht="15" customHeight="1">
      <c r="A54" s="409" t="s">
        <v>354</v>
      </c>
      <c r="B54" s="410" t="s">
        <v>117</v>
      </c>
      <c r="C54" s="411">
        <v>77616</v>
      </c>
      <c r="D54" s="411">
        <v>81528</v>
      </c>
      <c r="E54" s="411">
        <v>85632</v>
      </c>
      <c r="F54" s="411">
        <v>89964</v>
      </c>
      <c r="G54" s="411">
        <v>94500</v>
      </c>
    </row>
    <row r="55" spans="1:8" ht="15" customHeight="1">
      <c r="A55" s="409" t="s">
        <v>355</v>
      </c>
      <c r="B55" s="410" t="s">
        <v>310</v>
      </c>
      <c r="C55" s="411">
        <v>42780</v>
      </c>
      <c r="D55" s="411">
        <v>44952</v>
      </c>
      <c r="E55" s="411">
        <v>47232</v>
      </c>
      <c r="F55" s="411">
        <v>49596</v>
      </c>
      <c r="G55" s="411">
        <v>52092</v>
      </c>
    </row>
    <row r="56" spans="1:8" ht="15" customHeight="1">
      <c r="A56" s="409" t="s">
        <v>356</v>
      </c>
      <c r="B56" s="410" t="s">
        <v>301</v>
      </c>
      <c r="C56" s="411">
        <v>51300</v>
      </c>
      <c r="D56" s="411">
        <v>53880</v>
      </c>
      <c r="E56" s="411">
        <v>56616</v>
      </c>
      <c r="F56" s="411">
        <v>59436</v>
      </c>
      <c r="G56" s="411">
        <v>62436</v>
      </c>
    </row>
    <row r="57" spans="1:8" ht="15" customHeight="1">
      <c r="A57" s="409" t="s">
        <v>357</v>
      </c>
      <c r="B57" s="410" t="s">
        <v>301</v>
      </c>
      <c r="C57" s="411">
        <v>51300</v>
      </c>
      <c r="D57" s="411">
        <v>53880</v>
      </c>
      <c r="E57" s="411">
        <v>56616</v>
      </c>
      <c r="F57" s="411">
        <v>59436</v>
      </c>
      <c r="G57" s="411">
        <v>62436</v>
      </c>
    </row>
    <row r="58" spans="1:8" ht="15" customHeight="1">
      <c r="A58" s="409" t="s">
        <v>358</v>
      </c>
      <c r="B58" s="410" t="s">
        <v>297</v>
      </c>
      <c r="C58" s="411">
        <v>46800</v>
      </c>
      <c r="D58" s="411">
        <v>49164</v>
      </c>
      <c r="E58" s="411">
        <v>51636</v>
      </c>
      <c r="F58" s="411">
        <v>54216</v>
      </c>
      <c r="G58" s="411">
        <v>56976</v>
      </c>
    </row>
    <row r="59" spans="1:8" ht="15" customHeight="1">
      <c r="A59" s="409" t="s">
        <v>359</v>
      </c>
      <c r="B59" s="410" t="s">
        <v>109</v>
      </c>
      <c r="C59" s="411">
        <v>85896</v>
      </c>
      <c r="D59" s="411">
        <v>90252</v>
      </c>
      <c r="E59" s="411">
        <v>94776</v>
      </c>
      <c r="F59" s="411">
        <v>99540</v>
      </c>
      <c r="G59" s="411">
        <v>104544</v>
      </c>
    </row>
    <row r="60" spans="1:8" ht="15" customHeight="1">
      <c r="A60" s="409" t="s">
        <v>360</v>
      </c>
      <c r="B60" s="410" t="s">
        <v>297</v>
      </c>
      <c r="C60" s="411">
        <v>46800</v>
      </c>
      <c r="D60" s="411">
        <v>49164</v>
      </c>
      <c r="E60" s="411">
        <v>51636</v>
      </c>
      <c r="F60" s="411">
        <v>54216</v>
      </c>
      <c r="G60" s="411">
        <v>56976</v>
      </c>
    </row>
    <row r="61" spans="1:8" ht="15" customHeight="1">
      <c r="A61" s="409" t="s">
        <v>361</v>
      </c>
      <c r="B61" s="410" t="s">
        <v>297</v>
      </c>
      <c r="C61" s="411">
        <v>46800</v>
      </c>
      <c r="D61" s="411">
        <v>49164</v>
      </c>
      <c r="E61" s="411">
        <v>51636</v>
      </c>
      <c r="F61" s="411">
        <v>54216</v>
      </c>
      <c r="G61" s="411">
        <v>56976</v>
      </c>
    </row>
    <row r="62" spans="1:8" ht="15" customHeight="1">
      <c r="A62" s="409" t="s">
        <v>362</v>
      </c>
      <c r="B62" s="410" t="s">
        <v>301</v>
      </c>
      <c r="C62" s="411">
        <v>51300</v>
      </c>
      <c r="D62" s="411">
        <v>53880</v>
      </c>
      <c r="E62" s="411">
        <v>56616</v>
      </c>
      <c r="F62" s="411">
        <v>59436</v>
      </c>
      <c r="G62" s="411">
        <v>62436</v>
      </c>
    </row>
    <row r="63" spans="1:8" ht="15" customHeight="1">
      <c r="A63" s="409" t="s">
        <v>363</v>
      </c>
      <c r="B63" s="410" t="s">
        <v>301</v>
      </c>
      <c r="C63" s="411">
        <v>51300</v>
      </c>
      <c r="D63" s="411">
        <v>53880</v>
      </c>
      <c r="E63" s="411">
        <v>56616</v>
      </c>
      <c r="F63" s="411">
        <v>59436</v>
      </c>
      <c r="G63" s="411">
        <v>62436</v>
      </c>
    </row>
    <row r="64" spans="1:8" ht="15" customHeight="1">
      <c r="A64" s="409" t="s">
        <v>364</v>
      </c>
      <c r="B64" s="410" t="s">
        <v>297</v>
      </c>
      <c r="C64" s="411">
        <v>46800</v>
      </c>
      <c r="D64" s="411">
        <v>49164</v>
      </c>
      <c r="E64" s="411">
        <v>51636</v>
      </c>
      <c r="F64" s="411">
        <v>54216</v>
      </c>
      <c r="G64" s="411">
        <v>56976</v>
      </c>
    </row>
    <row r="65" spans="1:8" ht="15" customHeight="1">
      <c r="A65" s="409" t="s">
        <v>365</v>
      </c>
      <c r="B65" s="410" t="s">
        <v>301</v>
      </c>
      <c r="C65" s="411">
        <v>51300</v>
      </c>
      <c r="D65" s="411">
        <v>53880</v>
      </c>
      <c r="E65" s="411">
        <v>56616</v>
      </c>
      <c r="F65" s="411">
        <v>59436</v>
      </c>
      <c r="G65" s="411">
        <v>62436</v>
      </c>
    </row>
    <row r="66" spans="1:8" ht="15" customHeight="1">
      <c r="A66" s="409" t="s">
        <v>366</v>
      </c>
      <c r="B66" s="410" t="s">
        <v>303</v>
      </c>
      <c r="C66" s="411">
        <v>56496</v>
      </c>
      <c r="D66" s="411">
        <v>59352</v>
      </c>
      <c r="E66" s="411">
        <v>62328</v>
      </c>
      <c r="F66" s="411">
        <v>65472</v>
      </c>
      <c r="G66" s="411">
        <v>68796</v>
      </c>
    </row>
    <row r="67" spans="1:8" ht="15" customHeight="1">
      <c r="A67" s="409" t="s">
        <v>367</v>
      </c>
      <c r="B67" s="410" t="s">
        <v>301</v>
      </c>
      <c r="C67" s="411">
        <v>51300</v>
      </c>
      <c r="D67" s="411">
        <v>53880</v>
      </c>
      <c r="E67" s="411">
        <v>56616</v>
      </c>
      <c r="F67" s="411">
        <v>59436</v>
      </c>
      <c r="G67" s="411">
        <v>62436</v>
      </c>
    </row>
    <row r="68" spans="1:8" ht="15" customHeight="1">
      <c r="A68" s="409" t="s">
        <v>368</v>
      </c>
      <c r="B68" s="410" t="s">
        <v>292</v>
      </c>
      <c r="C68" s="411">
        <v>61704</v>
      </c>
      <c r="D68" s="411">
        <v>64824</v>
      </c>
      <c r="E68" s="411">
        <v>68124</v>
      </c>
      <c r="F68" s="411">
        <v>71520</v>
      </c>
      <c r="G68" s="411">
        <v>75120</v>
      </c>
    </row>
    <row r="69" spans="1:8" ht="15" customHeight="1">
      <c r="A69" s="409" t="s">
        <v>369</v>
      </c>
      <c r="B69" s="410" t="s">
        <v>310</v>
      </c>
      <c r="C69" s="411">
        <v>42780</v>
      </c>
      <c r="D69" s="411">
        <v>44952</v>
      </c>
      <c r="E69" s="411">
        <v>47232</v>
      </c>
      <c r="F69" s="411">
        <v>49596</v>
      </c>
      <c r="G69" s="411">
        <v>52092</v>
      </c>
    </row>
    <row r="70" spans="1:8" ht="15" customHeight="1">
      <c r="A70" s="409" t="s">
        <v>370</v>
      </c>
      <c r="B70" s="410" t="s">
        <v>297</v>
      </c>
      <c r="C70" s="411">
        <v>46800</v>
      </c>
      <c r="D70" s="411">
        <v>49164</v>
      </c>
      <c r="E70" s="411">
        <v>51636</v>
      </c>
      <c r="F70" s="411">
        <v>54216</v>
      </c>
      <c r="G70" s="411">
        <v>56976</v>
      </c>
    </row>
    <row r="71" spans="1:8" ht="15" customHeight="1">
      <c r="A71" s="409" t="s">
        <v>371</v>
      </c>
      <c r="B71" s="410" t="s">
        <v>145</v>
      </c>
      <c r="C71" s="411">
        <v>68052</v>
      </c>
      <c r="D71" s="411">
        <v>71412</v>
      </c>
      <c r="E71" s="411">
        <v>75060</v>
      </c>
      <c r="F71" s="411">
        <v>78816</v>
      </c>
      <c r="G71" s="411">
        <v>82800</v>
      </c>
    </row>
    <row r="72" spans="1:8" ht="15" customHeight="1">
      <c r="A72" s="409" t="s">
        <v>372</v>
      </c>
      <c r="B72" s="410" t="s">
        <v>303</v>
      </c>
      <c r="C72" s="411">
        <v>56496</v>
      </c>
      <c r="D72" s="411">
        <v>59352</v>
      </c>
      <c r="E72" s="411">
        <v>62328</v>
      </c>
      <c r="F72" s="411">
        <v>65472</v>
      </c>
      <c r="G72" s="411">
        <v>68796</v>
      </c>
    </row>
    <row r="73" spans="1:8" s="131" customFormat="1" ht="15" customHeight="1">
      <c r="A73" s="409" t="s">
        <v>373</v>
      </c>
      <c r="B73" s="410" t="s">
        <v>327</v>
      </c>
      <c r="C73" s="411">
        <v>54000</v>
      </c>
      <c r="D73" s="411">
        <v>56736</v>
      </c>
      <c r="E73" s="411">
        <v>59616</v>
      </c>
      <c r="F73" s="411">
        <v>62580</v>
      </c>
      <c r="G73" s="411">
        <v>65736</v>
      </c>
      <c r="H73"/>
    </row>
    <row r="74" spans="1:8" s="131" customFormat="1" ht="15" customHeight="1">
      <c r="A74" s="409" t="s">
        <v>374</v>
      </c>
      <c r="B74" s="410" t="s">
        <v>124</v>
      </c>
      <c r="C74" s="411">
        <v>81564</v>
      </c>
      <c r="D74" s="411">
        <v>85692</v>
      </c>
      <c r="E74" s="411">
        <v>90000</v>
      </c>
      <c r="F74" s="411">
        <v>94548</v>
      </c>
      <c r="G74" s="411">
        <v>99300</v>
      </c>
      <c r="H74"/>
    </row>
    <row r="75" spans="1:8" s="131" customFormat="1" ht="15" customHeight="1">
      <c r="A75" s="409" t="s">
        <v>375</v>
      </c>
      <c r="B75" s="410" t="s">
        <v>145</v>
      </c>
      <c r="C75" s="411">
        <v>68052</v>
      </c>
      <c r="D75" s="411">
        <v>71412</v>
      </c>
      <c r="E75" s="411">
        <v>75060</v>
      </c>
      <c r="F75" s="411">
        <v>78816</v>
      </c>
      <c r="G75" s="411">
        <v>82800</v>
      </c>
      <c r="H75"/>
    </row>
    <row r="76" spans="1:8" s="131" customFormat="1" ht="15" customHeight="1">
      <c r="A76" s="409" t="s">
        <v>376</v>
      </c>
      <c r="B76" s="410" t="s">
        <v>145</v>
      </c>
      <c r="C76" s="411">
        <v>68052</v>
      </c>
      <c r="D76" s="411">
        <v>71412</v>
      </c>
      <c r="E76" s="411">
        <v>75060</v>
      </c>
      <c r="F76" s="411">
        <v>78816</v>
      </c>
      <c r="G76" s="411">
        <v>82800</v>
      </c>
      <c r="H76"/>
    </row>
    <row r="77" spans="1:8" s="131" customFormat="1" ht="15" customHeight="1">
      <c r="A77" s="409" t="s">
        <v>377</v>
      </c>
      <c r="B77" s="410" t="s">
        <v>145</v>
      </c>
      <c r="C77" s="411">
        <v>68052</v>
      </c>
      <c r="D77" s="411">
        <v>71412</v>
      </c>
      <c r="E77" s="411">
        <v>75060</v>
      </c>
      <c r="F77" s="411">
        <v>78816</v>
      </c>
      <c r="G77" s="411">
        <v>82800</v>
      </c>
      <c r="H77"/>
    </row>
    <row r="78" spans="1:8" s="131" customFormat="1" ht="15" customHeight="1">
      <c r="A78" s="409" t="s">
        <v>378</v>
      </c>
      <c r="B78" s="410" t="s">
        <v>145</v>
      </c>
      <c r="C78" s="411">
        <v>68052</v>
      </c>
      <c r="D78" s="411">
        <v>71412</v>
      </c>
      <c r="E78" s="411">
        <v>75060</v>
      </c>
      <c r="F78" s="411">
        <v>78816</v>
      </c>
      <c r="G78" s="411">
        <v>82800</v>
      </c>
      <c r="H78"/>
    </row>
    <row r="79" spans="1:8" s="131" customFormat="1" ht="15" customHeight="1">
      <c r="A79" s="409" t="s">
        <v>379</v>
      </c>
      <c r="B79" s="410" t="s">
        <v>111</v>
      </c>
      <c r="C79" s="411">
        <v>65400</v>
      </c>
      <c r="D79" s="411">
        <v>68676</v>
      </c>
      <c r="E79" s="411">
        <v>72168</v>
      </c>
      <c r="F79" s="411">
        <v>75804</v>
      </c>
      <c r="G79" s="411">
        <v>79608</v>
      </c>
      <c r="H79"/>
    </row>
    <row r="80" spans="1:8" s="131" customFormat="1" ht="15" customHeight="1">
      <c r="A80" s="409" t="s">
        <v>380</v>
      </c>
      <c r="B80" s="410" t="s">
        <v>292</v>
      </c>
      <c r="C80" s="411">
        <v>61704</v>
      </c>
      <c r="D80" s="411">
        <v>64824</v>
      </c>
      <c r="E80" s="411">
        <v>68124</v>
      </c>
      <c r="F80" s="411">
        <v>71520</v>
      </c>
      <c r="G80" s="411">
        <v>75120</v>
      </c>
      <c r="H80"/>
    </row>
    <row r="81" spans="1:8" ht="15" customHeight="1">
      <c r="A81" s="409" t="s">
        <v>381</v>
      </c>
      <c r="B81" s="410" t="s">
        <v>292</v>
      </c>
      <c r="C81" s="411">
        <v>61704</v>
      </c>
      <c r="D81" s="411">
        <v>64824</v>
      </c>
      <c r="E81" s="411">
        <v>68124</v>
      </c>
      <c r="F81" s="411">
        <v>71520</v>
      </c>
      <c r="G81" s="411">
        <v>75120</v>
      </c>
    </row>
    <row r="82" spans="1:8" ht="15" customHeight="1">
      <c r="A82" s="409" t="s">
        <v>382</v>
      </c>
      <c r="B82" s="410" t="s">
        <v>292</v>
      </c>
      <c r="C82" s="411">
        <v>61704</v>
      </c>
      <c r="D82" s="411">
        <v>64824</v>
      </c>
      <c r="E82" s="411">
        <v>68124</v>
      </c>
      <c r="F82" s="411">
        <v>71520</v>
      </c>
      <c r="G82" s="411">
        <v>75120</v>
      </c>
    </row>
    <row r="83" spans="1:8" ht="15" customHeight="1">
      <c r="A83" s="409" t="s">
        <v>383</v>
      </c>
      <c r="B83" s="410" t="s">
        <v>301</v>
      </c>
      <c r="C83" s="411">
        <v>51300</v>
      </c>
      <c r="D83" s="411">
        <v>53880</v>
      </c>
      <c r="E83" s="411">
        <v>56616</v>
      </c>
      <c r="F83" s="411">
        <v>59436</v>
      </c>
      <c r="G83" s="411">
        <v>62436</v>
      </c>
    </row>
    <row r="84" spans="1:8" ht="15" customHeight="1">
      <c r="A84" s="409" t="s">
        <v>384</v>
      </c>
      <c r="B84" s="410" t="s">
        <v>327</v>
      </c>
      <c r="C84" s="411">
        <v>54000</v>
      </c>
      <c r="D84" s="411">
        <v>56736</v>
      </c>
      <c r="E84" s="411">
        <v>59616</v>
      </c>
      <c r="F84" s="411">
        <v>62580</v>
      </c>
      <c r="G84" s="411">
        <v>65736</v>
      </c>
    </row>
    <row r="85" spans="1:8" ht="15" customHeight="1">
      <c r="A85" s="409" t="s">
        <v>385</v>
      </c>
      <c r="B85" s="410" t="s">
        <v>292</v>
      </c>
      <c r="C85" s="411">
        <v>61704</v>
      </c>
      <c r="D85" s="411">
        <v>64824</v>
      </c>
      <c r="E85" s="411">
        <v>68124</v>
      </c>
      <c r="F85" s="411">
        <v>71520</v>
      </c>
      <c r="G85" s="411">
        <v>75120</v>
      </c>
    </row>
    <row r="86" spans="1:8" ht="15" customHeight="1">
      <c r="A86" s="409" t="s">
        <v>386</v>
      </c>
      <c r="B86" s="410" t="s">
        <v>145</v>
      </c>
      <c r="C86" s="411">
        <v>68052</v>
      </c>
      <c r="D86" s="411">
        <v>71412</v>
      </c>
      <c r="E86" s="411">
        <v>75060</v>
      </c>
      <c r="F86" s="411">
        <v>78816</v>
      </c>
      <c r="G86" s="411">
        <v>82800</v>
      </c>
    </row>
    <row r="87" spans="1:8" ht="15" customHeight="1">
      <c r="A87" s="409" t="s">
        <v>387</v>
      </c>
      <c r="B87" s="410" t="s">
        <v>152</v>
      </c>
      <c r="C87" s="411">
        <v>71076</v>
      </c>
      <c r="D87" s="411">
        <v>74640</v>
      </c>
      <c r="E87" s="411">
        <v>78444</v>
      </c>
      <c r="F87" s="411">
        <v>82344</v>
      </c>
      <c r="G87" s="411">
        <v>86532</v>
      </c>
    </row>
    <row r="88" spans="1:8" ht="15" customHeight="1">
      <c r="A88" s="409" t="s">
        <v>388</v>
      </c>
      <c r="B88" s="410" t="s">
        <v>145</v>
      </c>
      <c r="C88" s="411">
        <v>68052</v>
      </c>
      <c r="D88" s="411">
        <v>71412</v>
      </c>
      <c r="E88" s="411">
        <v>75060</v>
      </c>
      <c r="F88" s="411">
        <v>78816</v>
      </c>
      <c r="G88" s="411">
        <v>82800</v>
      </c>
    </row>
    <row r="89" spans="1:8" s="131" customFormat="1" ht="15" customHeight="1">
      <c r="A89" s="409" t="s">
        <v>389</v>
      </c>
      <c r="B89" s="410" t="s">
        <v>152</v>
      </c>
      <c r="C89" s="411">
        <v>71076</v>
      </c>
      <c r="D89" s="411">
        <v>74640</v>
      </c>
      <c r="E89" s="411">
        <v>78444</v>
      </c>
      <c r="F89" s="411">
        <v>82344</v>
      </c>
      <c r="G89" s="411">
        <v>86532</v>
      </c>
      <c r="H89"/>
    </row>
    <row r="90" spans="1:8" s="131" customFormat="1" ht="15" customHeight="1">
      <c r="A90" s="409" t="s">
        <v>390</v>
      </c>
      <c r="B90" s="410" t="s">
        <v>292</v>
      </c>
      <c r="C90" s="411">
        <v>61704</v>
      </c>
      <c r="D90" s="411">
        <v>64824</v>
      </c>
      <c r="E90" s="411">
        <v>68124</v>
      </c>
      <c r="F90" s="411">
        <v>71520</v>
      </c>
      <c r="G90" s="411">
        <v>75120</v>
      </c>
      <c r="H90"/>
    </row>
    <row r="91" spans="1:8" s="131" customFormat="1" ht="15" customHeight="1">
      <c r="A91" s="409" t="s">
        <v>391</v>
      </c>
      <c r="B91" s="410" t="s">
        <v>297</v>
      </c>
      <c r="C91" s="411">
        <v>46800</v>
      </c>
      <c r="D91" s="411">
        <v>49164</v>
      </c>
      <c r="E91" s="411">
        <v>51636</v>
      </c>
      <c r="F91" s="411">
        <v>54216</v>
      </c>
      <c r="G91" s="411">
        <v>56976</v>
      </c>
      <c r="H91"/>
    </row>
    <row r="92" spans="1:8" s="131" customFormat="1" ht="15" customHeight="1">
      <c r="A92" s="409" t="s">
        <v>392</v>
      </c>
      <c r="B92" s="410" t="s">
        <v>292</v>
      </c>
      <c r="C92" s="411">
        <v>61704</v>
      </c>
      <c r="D92" s="411">
        <v>64824</v>
      </c>
      <c r="E92" s="411">
        <v>68124</v>
      </c>
      <c r="F92" s="411">
        <v>71520</v>
      </c>
      <c r="G92" s="411">
        <v>75120</v>
      </c>
      <c r="H92"/>
    </row>
    <row r="93" spans="1:8" s="131" customFormat="1" ht="15" customHeight="1">
      <c r="A93" s="409" t="s">
        <v>393</v>
      </c>
      <c r="B93" s="410" t="s">
        <v>292</v>
      </c>
      <c r="C93" s="411">
        <v>61704</v>
      </c>
      <c r="D93" s="411">
        <v>64824</v>
      </c>
      <c r="E93" s="411">
        <v>68124</v>
      </c>
      <c r="F93" s="411">
        <v>71520</v>
      </c>
      <c r="G93" s="411">
        <v>75120</v>
      </c>
      <c r="H93"/>
    </row>
    <row r="94" spans="1:8" s="131" customFormat="1" ht="15" customHeight="1">
      <c r="A94" s="409" t="s">
        <v>394</v>
      </c>
      <c r="B94" s="410" t="s">
        <v>292</v>
      </c>
      <c r="C94" s="411">
        <v>61704</v>
      </c>
      <c r="D94" s="411">
        <v>64824</v>
      </c>
      <c r="E94" s="411">
        <v>68124</v>
      </c>
      <c r="F94" s="411">
        <v>71520</v>
      </c>
      <c r="G94" s="411">
        <v>75120</v>
      </c>
      <c r="H94"/>
    </row>
    <row r="95" spans="1:8" s="131" customFormat="1" ht="15" customHeight="1">
      <c r="A95" s="409" t="s">
        <v>395</v>
      </c>
      <c r="B95" s="410" t="s">
        <v>292</v>
      </c>
      <c r="C95" s="411">
        <v>61704</v>
      </c>
      <c r="D95" s="411">
        <v>64824</v>
      </c>
      <c r="E95" s="411">
        <v>68124</v>
      </c>
      <c r="F95" s="411">
        <v>71520</v>
      </c>
      <c r="G95" s="411">
        <v>75120</v>
      </c>
      <c r="H95"/>
    </row>
    <row r="96" spans="1:8" s="131" customFormat="1" ht="15" customHeight="1">
      <c r="A96" s="409" t="s">
        <v>396</v>
      </c>
      <c r="B96" s="410" t="s">
        <v>292</v>
      </c>
      <c r="C96" s="411">
        <v>61704</v>
      </c>
      <c r="D96" s="411">
        <v>64824</v>
      </c>
      <c r="E96" s="411">
        <v>68124</v>
      </c>
      <c r="F96" s="411">
        <v>71520</v>
      </c>
      <c r="G96" s="411">
        <v>75120</v>
      </c>
      <c r="H96"/>
    </row>
    <row r="97" spans="1:8" s="131" customFormat="1" ht="15" customHeight="1">
      <c r="A97" s="409" t="s">
        <v>397</v>
      </c>
      <c r="B97" s="410" t="s">
        <v>303</v>
      </c>
      <c r="C97" s="411">
        <v>56496</v>
      </c>
      <c r="D97" s="411">
        <v>59352</v>
      </c>
      <c r="E97" s="411">
        <v>62328</v>
      </c>
      <c r="F97" s="411">
        <v>65472</v>
      </c>
      <c r="G97" s="411">
        <v>68796</v>
      </c>
      <c r="H97"/>
    </row>
    <row r="98" spans="1:8" s="131" customFormat="1" ht="15" customHeight="1">
      <c r="A98" s="409" t="s">
        <v>398</v>
      </c>
      <c r="B98" s="410" t="s">
        <v>145</v>
      </c>
      <c r="C98" s="411">
        <v>68052</v>
      </c>
      <c r="D98" s="411">
        <v>71412</v>
      </c>
      <c r="E98" s="411">
        <v>75060</v>
      </c>
      <c r="F98" s="411">
        <v>78816</v>
      </c>
      <c r="G98" s="411">
        <v>82800</v>
      </c>
      <c r="H98"/>
    </row>
    <row r="99" spans="1:8" s="131" customFormat="1" ht="15" customHeight="1">
      <c r="A99" s="409" t="s">
        <v>399</v>
      </c>
      <c r="B99" s="410" t="s">
        <v>327</v>
      </c>
      <c r="C99" s="411">
        <v>54000</v>
      </c>
      <c r="D99" s="411">
        <v>56736</v>
      </c>
      <c r="E99" s="411">
        <v>59616</v>
      </c>
      <c r="F99" s="411">
        <v>62580</v>
      </c>
      <c r="G99" s="411">
        <v>65736</v>
      </c>
      <c r="H99"/>
    </row>
    <row r="100" spans="1:8" s="131" customFormat="1" ht="15" customHeight="1">
      <c r="A100" s="409" t="s">
        <v>400</v>
      </c>
      <c r="B100" s="410" t="s">
        <v>117</v>
      </c>
      <c r="C100" s="411">
        <v>77616</v>
      </c>
      <c r="D100" s="411">
        <v>81528</v>
      </c>
      <c r="E100" s="411">
        <v>85632</v>
      </c>
      <c r="F100" s="411">
        <v>89964</v>
      </c>
      <c r="G100" s="411">
        <v>94500</v>
      </c>
      <c r="H100"/>
    </row>
    <row r="101" spans="1:8" s="131" customFormat="1" ht="15" customHeight="1">
      <c r="A101" s="409" t="s">
        <v>401</v>
      </c>
      <c r="B101" s="410" t="s">
        <v>297</v>
      </c>
      <c r="C101" s="411">
        <v>46800</v>
      </c>
      <c r="D101" s="411">
        <v>49164</v>
      </c>
      <c r="E101" s="411">
        <v>51636</v>
      </c>
      <c r="F101" s="411">
        <v>54216</v>
      </c>
      <c r="G101" s="411">
        <v>56976</v>
      </c>
      <c r="H101"/>
    </row>
    <row r="102" spans="1:8" s="131" customFormat="1" ht="15" customHeight="1">
      <c r="A102" s="409" t="s">
        <v>402</v>
      </c>
      <c r="B102" s="410" t="s">
        <v>297</v>
      </c>
      <c r="C102" s="411">
        <v>46800</v>
      </c>
      <c r="D102" s="411">
        <v>49164</v>
      </c>
      <c r="E102" s="411">
        <v>51636</v>
      </c>
      <c r="F102" s="411">
        <v>54216</v>
      </c>
      <c r="G102" s="411">
        <v>56976</v>
      </c>
      <c r="H102"/>
    </row>
    <row r="103" spans="1:8" s="131" customFormat="1" ht="15" customHeight="1">
      <c r="A103" s="409" t="s">
        <v>403</v>
      </c>
      <c r="B103" s="410" t="s">
        <v>323</v>
      </c>
      <c r="C103" s="411">
        <v>48924</v>
      </c>
      <c r="D103" s="411">
        <v>51444</v>
      </c>
      <c r="E103" s="411">
        <v>53988</v>
      </c>
      <c r="F103" s="411">
        <v>56712</v>
      </c>
      <c r="G103" s="411">
        <v>59580</v>
      </c>
      <c r="H103"/>
    </row>
    <row r="104" spans="1:8" s="131" customFormat="1" ht="15" customHeight="1">
      <c r="A104" s="409" t="s">
        <v>404</v>
      </c>
      <c r="B104" s="410" t="s">
        <v>303</v>
      </c>
      <c r="C104" s="411">
        <v>56496</v>
      </c>
      <c r="D104" s="411">
        <v>59352</v>
      </c>
      <c r="E104" s="411">
        <v>62328</v>
      </c>
      <c r="F104" s="411">
        <v>65472</v>
      </c>
      <c r="G104" s="411">
        <v>68796</v>
      </c>
      <c r="H104"/>
    </row>
    <row r="105" spans="1:8" s="131" customFormat="1" ht="15" customHeight="1">
      <c r="A105" s="409" t="s">
        <v>405</v>
      </c>
      <c r="B105" s="410" t="s">
        <v>145</v>
      </c>
      <c r="C105" s="411">
        <v>68052</v>
      </c>
      <c r="D105" s="411">
        <v>71412</v>
      </c>
      <c r="E105" s="411">
        <v>75060</v>
      </c>
      <c r="F105" s="411">
        <v>78816</v>
      </c>
      <c r="G105" s="411">
        <v>82800</v>
      </c>
      <c r="H105"/>
    </row>
    <row r="106" spans="1:8" s="131" customFormat="1" ht="15" customHeight="1">
      <c r="A106" s="409" t="s">
        <v>406</v>
      </c>
      <c r="B106" s="410" t="s">
        <v>292</v>
      </c>
      <c r="C106" s="411">
        <v>61704</v>
      </c>
      <c r="D106" s="411">
        <v>64824</v>
      </c>
      <c r="E106" s="411">
        <v>68124</v>
      </c>
      <c r="F106" s="411">
        <v>71520</v>
      </c>
      <c r="G106" s="411">
        <v>75120</v>
      </c>
      <c r="H106"/>
    </row>
    <row r="107" spans="1:8" s="131" customFormat="1" ht="15" customHeight="1">
      <c r="A107" s="409" t="s">
        <v>407</v>
      </c>
      <c r="B107" s="410" t="s">
        <v>292</v>
      </c>
      <c r="C107" s="411">
        <v>61704</v>
      </c>
      <c r="D107" s="411">
        <v>64824</v>
      </c>
      <c r="E107" s="411">
        <v>68124</v>
      </c>
      <c r="F107" s="411">
        <v>71520</v>
      </c>
      <c r="G107" s="411">
        <v>75120</v>
      </c>
      <c r="H107"/>
    </row>
    <row r="108" spans="1:8" s="131" customFormat="1" ht="15" customHeight="1">
      <c r="A108" s="409" t="s">
        <v>408</v>
      </c>
      <c r="B108" s="410" t="s">
        <v>303</v>
      </c>
      <c r="C108" s="411">
        <v>56496</v>
      </c>
      <c r="D108" s="411">
        <v>59352</v>
      </c>
      <c r="E108" s="411">
        <v>62328</v>
      </c>
      <c r="F108" s="411">
        <v>65472</v>
      </c>
      <c r="G108" s="411">
        <v>68796</v>
      </c>
      <c r="H108"/>
    </row>
    <row r="109" spans="1:8" s="131" customFormat="1" ht="15" customHeight="1">
      <c r="A109" s="409" t="s">
        <v>409</v>
      </c>
      <c r="B109" s="410" t="s">
        <v>117</v>
      </c>
      <c r="C109" s="411">
        <v>77616</v>
      </c>
      <c r="D109" s="411">
        <v>81528</v>
      </c>
      <c r="E109" s="411">
        <v>85632</v>
      </c>
      <c r="F109" s="411">
        <v>89964</v>
      </c>
      <c r="G109" s="411">
        <v>94500</v>
      </c>
      <c r="H109"/>
    </row>
    <row r="110" spans="1:8" s="131" customFormat="1" ht="15" customHeight="1">
      <c r="A110" s="409" t="s">
        <v>410</v>
      </c>
      <c r="B110" s="410" t="s">
        <v>109</v>
      </c>
      <c r="C110" s="411">
        <v>85896</v>
      </c>
      <c r="D110" s="411">
        <v>90252</v>
      </c>
      <c r="E110" s="411">
        <v>94776</v>
      </c>
      <c r="F110" s="411">
        <v>99540</v>
      </c>
      <c r="G110" s="411">
        <v>104544</v>
      </c>
      <c r="H110"/>
    </row>
    <row r="111" spans="1:8" ht="15" customHeight="1">
      <c r="A111" s="409" t="s">
        <v>411</v>
      </c>
      <c r="B111" s="410" t="s">
        <v>345</v>
      </c>
      <c r="C111" s="411">
        <v>58980</v>
      </c>
      <c r="D111" s="411">
        <v>61944</v>
      </c>
      <c r="E111" s="411">
        <v>65088</v>
      </c>
      <c r="F111" s="411">
        <v>68340</v>
      </c>
      <c r="G111" s="411">
        <v>71820</v>
      </c>
    </row>
    <row r="112" spans="1:8" ht="15" customHeight="1">
      <c r="A112" s="409" t="s">
        <v>412</v>
      </c>
      <c r="B112" s="410" t="s">
        <v>297</v>
      </c>
      <c r="C112" s="411">
        <v>46800</v>
      </c>
      <c r="D112" s="411">
        <v>49164</v>
      </c>
      <c r="E112" s="411">
        <v>51636</v>
      </c>
      <c r="F112" s="411">
        <v>54216</v>
      </c>
      <c r="G112" s="411">
        <v>56976</v>
      </c>
    </row>
    <row r="113" spans="1:8" ht="15" customHeight="1">
      <c r="A113" s="409" t="s">
        <v>413</v>
      </c>
      <c r="B113" s="410" t="s">
        <v>310</v>
      </c>
      <c r="C113" s="411">
        <v>42780</v>
      </c>
      <c r="D113" s="411">
        <v>44952</v>
      </c>
      <c r="E113" s="411">
        <v>47232</v>
      </c>
      <c r="F113" s="411">
        <v>49596</v>
      </c>
      <c r="G113" s="411">
        <v>52092</v>
      </c>
    </row>
    <row r="114" spans="1:8" ht="15" customHeight="1">
      <c r="A114" s="409" t="s">
        <v>414</v>
      </c>
      <c r="B114" s="410" t="s">
        <v>292</v>
      </c>
      <c r="C114" s="411">
        <v>61704</v>
      </c>
      <c r="D114" s="411">
        <v>64824</v>
      </c>
      <c r="E114" s="411">
        <v>68124</v>
      </c>
      <c r="F114" s="411">
        <v>71520</v>
      </c>
      <c r="G114" s="411">
        <v>75120</v>
      </c>
    </row>
    <row r="115" spans="1:8" ht="15" customHeight="1">
      <c r="A115" s="409" t="s">
        <v>415</v>
      </c>
      <c r="B115" s="410" t="s">
        <v>303</v>
      </c>
      <c r="C115" s="411">
        <v>56496</v>
      </c>
      <c r="D115" s="411">
        <v>59352</v>
      </c>
      <c r="E115" s="411">
        <v>62328</v>
      </c>
      <c r="F115" s="411">
        <v>65472</v>
      </c>
      <c r="G115" s="411">
        <v>68796</v>
      </c>
    </row>
    <row r="116" spans="1:8" ht="15" customHeight="1">
      <c r="A116" s="409" t="s">
        <v>416</v>
      </c>
      <c r="B116" s="410" t="s">
        <v>145</v>
      </c>
      <c r="C116" s="411">
        <v>68052</v>
      </c>
      <c r="D116" s="411">
        <v>71412</v>
      </c>
      <c r="E116" s="411">
        <v>75060</v>
      </c>
      <c r="F116" s="411">
        <v>78816</v>
      </c>
      <c r="G116" s="411">
        <v>82800</v>
      </c>
    </row>
    <row r="117" spans="1:8" ht="15" customHeight="1">
      <c r="A117" s="409" t="s">
        <v>417</v>
      </c>
      <c r="B117" s="410" t="s">
        <v>327</v>
      </c>
      <c r="C117" s="411">
        <v>54000</v>
      </c>
      <c r="D117" s="411">
        <v>56736</v>
      </c>
      <c r="E117" s="411">
        <v>59616</v>
      </c>
      <c r="F117" s="411">
        <v>62580</v>
      </c>
      <c r="G117" s="411">
        <v>65736</v>
      </c>
    </row>
    <row r="118" spans="1:8" ht="15" customHeight="1">
      <c r="A118" s="409" t="s">
        <v>418</v>
      </c>
      <c r="B118" s="410" t="s">
        <v>310</v>
      </c>
      <c r="C118" s="411">
        <v>42780</v>
      </c>
      <c r="D118" s="411">
        <v>44952</v>
      </c>
      <c r="E118" s="411">
        <v>47232</v>
      </c>
      <c r="F118" s="411">
        <v>49596</v>
      </c>
      <c r="G118" s="411">
        <v>52092</v>
      </c>
    </row>
    <row r="119" spans="1:8" ht="15" customHeight="1">
      <c r="A119" s="409" t="s">
        <v>419</v>
      </c>
      <c r="B119" s="410" t="s">
        <v>115</v>
      </c>
      <c r="C119" s="411">
        <v>74052</v>
      </c>
      <c r="D119" s="411">
        <v>77808</v>
      </c>
      <c r="E119" s="411">
        <v>81708</v>
      </c>
      <c r="F119" s="411">
        <v>85824</v>
      </c>
      <c r="G119" s="411">
        <v>90180</v>
      </c>
    </row>
    <row r="120" spans="1:8" ht="15" customHeight="1">
      <c r="A120" s="409" t="s">
        <v>420</v>
      </c>
      <c r="B120" s="410" t="s">
        <v>115</v>
      </c>
      <c r="C120" s="411">
        <v>74052</v>
      </c>
      <c r="D120" s="411">
        <v>77808</v>
      </c>
      <c r="E120" s="411">
        <v>81708</v>
      </c>
      <c r="F120" s="411">
        <v>85824</v>
      </c>
      <c r="G120" s="411">
        <v>90180</v>
      </c>
    </row>
    <row r="121" spans="1:8" ht="15" customHeight="1">
      <c r="A121" s="409" t="s">
        <v>421</v>
      </c>
      <c r="B121" s="410" t="s">
        <v>292</v>
      </c>
      <c r="C121" s="411">
        <v>61704</v>
      </c>
      <c r="D121" s="411">
        <v>64824</v>
      </c>
      <c r="E121" s="411">
        <v>68124</v>
      </c>
      <c r="F121" s="411">
        <v>71520</v>
      </c>
      <c r="G121" s="411">
        <v>75120</v>
      </c>
    </row>
    <row r="122" spans="1:8" ht="15" customHeight="1">
      <c r="A122" s="409" t="s">
        <v>422</v>
      </c>
      <c r="B122" s="410" t="s">
        <v>292</v>
      </c>
      <c r="C122" s="411">
        <v>61704</v>
      </c>
      <c r="D122" s="411">
        <v>64824</v>
      </c>
      <c r="E122" s="411">
        <v>68124</v>
      </c>
      <c r="F122" s="411">
        <v>71520</v>
      </c>
      <c r="G122" s="411">
        <v>75120</v>
      </c>
    </row>
    <row r="123" spans="1:8" s="131" customFormat="1" ht="15" customHeight="1">
      <c r="A123" s="409" t="s">
        <v>423</v>
      </c>
      <c r="B123" s="410" t="s">
        <v>424</v>
      </c>
      <c r="C123" s="411">
        <v>44532</v>
      </c>
      <c r="D123" s="411">
        <v>46764</v>
      </c>
      <c r="E123" s="411">
        <v>49140</v>
      </c>
      <c r="F123" s="411">
        <v>51624</v>
      </c>
      <c r="G123" s="411">
        <v>54180</v>
      </c>
      <c r="H123"/>
    </row>
    <row r="124" spans="1:8" ht="15" customHeight="1">
      <c r="A124" s="409" t="s">
        <v>425</v>
      </c>
      <c r="B124" s="410" t="s">
        <v>292</v>
      </c>
      <c r="C124" s="411">
        <v>61704</v>
      </c>
      <c r="D124" s="411">
        <v>64824</v>
      </c>
      <c r="E124" s="411">
        <v>68124</v>
      </c>
      <c r="F124" s="411">
        <v>71520</v>
      </c>
      <c r="G124" s="411">
        <v>75120</v>
      </c>
    </row>
    <row r="125" spans="1:8" ht="15" customHeight="1">
      <c r="A125" s="409" t="s">
        <v>426</v>
      </c>
      <c r="B125" s="410" t="s">
        <v>152</v>
      </c>
      <c r="C125" s="411">
        <v>71076</v>
      </c>
      <c r="D125" s="411">
        <v>74640</v>
      </c>
      <c r="E125" s="411">
        <v>78444</v>
      </c>
      <c r="F125" s="411">
        <v>82344</v>
      </c>
      <c r="G125" s="411">
        <v>86532</v>
      </c>
    </row>
    <row r="126" spans="1:8" ht="15" customHeight="1">
      <c r="A126" s="409" t="s">
        <v>427</v>
      </c>
      <c r="B126" s="410" t="s">
        <v>145</v>
      </c>
      <c r="C126" s="411">
        <v>68052</v>
      </c>
      <c r="D126" s="411">
        <v>71412</v>
      </c>
      <c r="E126" s="411">
        <v>75060</v>
      </c>
      <c r="F126" s="411">
        <v>78816</v>
      </c>
      <c r="G126" s="411">
        <v>82800</v>
      </c>
    </row>
    <row r="127" spans="1:8" ht="15" customHeight="1">
      <c r="A127" s="409" t="s">
        <v>428</v>
      </c>
      <c r="B127" s="410" t="s">
        <v>124</v>
      </c>
      <c r="C127" s="411">
        <v>81564</v>
      </c>
      <c r="D127" s="411">
        <v>85692</v>
      </c>
      <c r="E127" s="411">
        <v>90000</v>
      </c>
      <c r="F127" s="411">
        <v>94548</v>
      </c>
      <c r="G127" s="411">
        <v>99300</v>
      </c>
    </row>
    <row r="128" spans="1:8" ht="15" customHeight="1">
      <c r="A128" s="409" t="s">
        <v>429</v>
      </c>
      <c r="B128" s="410" t="s">
        <v>145</v>
      </c>
      <c r="C128" s="411">
        <v>68052</v>
      </c>
      <c r="D128" s="411">
        <v>71412</v>
      </c>
      <c r="E128" s="411">
        <v>75060</v>
      </c>
      <c r="F128" s="411">
        <v>78816</v>
      </c>
      <c r="G128" s="411">
        <v>82800</v>
      </c>
    </row>
    <row r="129" spans="1:12" ht="15" customHeight="1">
      <c r="A129" s="409" t="s">
        <v>430</v>
      </c>
      <c r="B129" s="410" t="s">
        <v>152</v>
      </c>
      <c r="C129" s="411">
        <v>71076</v>
      </c>
      <c r="D129" s="411">
        <v>74640</v>
      </c>
      <c r="E129" s="411">
        <v>78444</v>
      </c>
      <c r="F129" s="411">
        <v>82344</v>
      </c>
      <c r="G129" s="411">
        <v>86532</v>
      </c>
    </row>
    <row r="130" spans="1:12" ht="15" customHeight="1">
      <c r="A130" s="409" t="s">
        <v>431</v>
      </c>
      <c r="B130" s="410" t="s">
        <v>145</v>
      </c>
      <c r="C130" s="411">
        <v>68052</v>
      </c>
      <c r="D130" s="411">
        <v>71412</v>
      </c>
      <c r="E130" s="411">
        <v>75060</v>
      </c>
      <c r="F130" s="411">
        <v>78816</v>
      </c>
      <c r="G130" s="411">
        <v>82800</v>
      </c>
    </row>
    <row r="131" spans="1:12" ht="15" customHeight="1">
      <c r="A131" s="409" t="s">
        <v>432</v>
      </c>
      <c r="B131" s="410" t="s">
        <v>145</v>
      </c>
      <c r="C131" s="411">
        <v>68052</v>
      </c>
      <c r="D131" s="411">
        <v>71412</v>
      </c>
      <c r="E131" s="411">
        <v>75060</v>
      </c>
      <c r="F131" s="411">
        <v>78816</v>
      </c>
      <c r="G131" s="411">
        <v>82800</v>
      </c>
    </row>
    <row r="132" spans="1:12" ht="15" customHeight="1">
      <c r="A132" s="409" t="s">
        <v>433</v>
      </c>
      <c r="B132" s="410" t="s">
        <v>292</v>
      </c>
      <c r="C132" s="411">
        <v>61704</v>
      </c>
      <c r="D132" s="411">
        <v>64824</v>
      </c>
      <c r="E132" s="411">
        <v>68124</v>
      </c>
      <c r="F132" s="411">
        <v>71520</v>
      </c>
      <c r="G132" s="411">
        <v>75120</v>
      </c>
    </row>
    <row r="133" spans="1:12" ht="15" customHeight="1">
      <c r="A133" s="409" t="s">
        <v>434</v>
      </c>
      <c r="B133" s="410" t="s">
        <v>145</v>
      </c>
      <c r="C133" s="411">
        <v>68052</v>
      </c>
      <c r="D133" s="411">
        <v>71412</v>
      </c>
      <c r="E133" s="411">
        <v>75060</v>
      </c>
      <c r="F133" s="411">
        <v>78816</v>
      </c>
      <c r="G133" s="411">
        <v>82800</v>
      </c>
    </row>
    <row r="134" spans="1:12" ht="15" customHeight="1">
      <c r="A134" s="409" t="s">
        <v>435</v>
      </c>
      <c r="B134" s="410" t="s">
        <v>145</v>
      </c>
      <c r="C134" s="411">
        <v>68052</v>
      </c>
      <c r="D134" s="411">
        <v>71412</v>
      </c>
      <c r="E134" s="411">
        <v>75060</v>
      </c>
      <c r="F134" s="411">
        <v>78816</v>
      </c>
      <c r="G134" s="411">
        <v>82800</v>
      </c>
    </row>
    <row r="135" spans="1:12" ht="15" customHeight="1">
      <c r="A135" s="409" t="s">
        <v>436</v>
      </c>
      <c r="B135" s="410" t="s">
        <v>292</v>
      </c>
      <c r="C135" s="411">
        <v>61704</v>
      </c>
      <c r="D135" s="411">
        <v>64824</v>
      </c>
      <c r="E135" s="411">
        <v>68124</v>
      </c>
      <c r="F135" s="411">
        <v>71520</v>
      </c>
      <c r="G135" s="411">
        <v>75120</v>
      </c>
    </row>
    <row r="136" spans="1:12" ht="15" customHeight="1">
      <c r="A136" s="409" t="s">
        <v>437</v>
      </c>
      <c r="B136" s="410" t="s">
        <v>111</v>
      </c>
      <c r="C136" s="411">
        <v>65400</v>
      </c>
      <c r="D136" s="411">
        <v>68676</v>
      </c>
      <c r="E136" s="411">
        <v>72168</v>
      </c>
      <c r="F136" s="411">
        <v>75804</v>
      </c>
      <c r="G136" s="411">
        <v>79608</v>
      </c>
    </row>
    <row r="137" spans="1:12" ht="15" customHeight="1">
      <c r="A137" s="409" t="s">
        <v>438</v>
      </c>
      <c r="B137" s="410" t="s">
        <v>292</v>
      </c>
      <c r="C137" s="411">
        <v>61704</v>
      </c>
      <c r="D137" s="411">
        <v>64824</v>
      </c>
      <c r="E137" s="411">
        <v>68124</v>
      </c>
      <c r="F137" s="411">
        <v>71520</v>
      </c>
      <c r="G137" s="411">
        <v>75120</v>
      </c>
    </row>
    <row r="138" spans="1:12" ht="15" customHeight="1">
      <c r="A138" s="409" t="s">
        <v>439</v>
      </c>
      <c r="B138" s="410" t="s">
        <v>303</v>
      </c>
      <c r="C138" s="411">
        <v>56496</v>
      </c>
      <c r="D138" s="411">
        <v>59352</v>
      </c>
      <c r="E138" s="411">
        <v>62328</v>
      </c>
      <c r="F138" s="411">
        <v>65472</v>
      </c>
      <c r="G138" s="411">
        <v>68796</v>
      </c>
    </row>
    <row r="139" spans="1:12" ht="15" customHeight="1">
      <c r="A139" s="409" t="s">
        <v>440</v>
      </c>
      <c r="B139" s="410" t="s">
        <v>292</v>
      </c>
      <c r="C139" s="411">
        <v>61704</v>
      </c>
      <c r="D139" s="411">
        <v>64824</v>
      </c>
      <c r="E139" s="411">
        <v>68124</v>
      </c>
      <c r="F139" s="411">
        <v>71520</v>
      </c>
      <c r="G139" s="411">
        <v>75120</v>
      </c>
      <c r="I139" s="152"/>
      <c r="J139" s="152"/>
      <c r="K139" s="152"/>
      <c r="L139" s="152"/>
    </row>
    <row r="140" spans="1:12" ht="15" customHeight="1">
      <c r="A140" s="409" t="s">
        <v>441</v>
      </c>
      <c r="B140" s="410" t="s">
        <v>115</v>
      </c>
      <c r="C140" s="411">
        <v>74052</v>
      </c>
      <c r="D140" s="411">
        <v>77808</v>
      </c>
      <c r="E140" s="411">
        <v>81708</v>
      </c>
      <c r="F140" s="411">
        <v>85824</v>
      </c>
      <c r="G140" s="411">
        <v>90180</v>
      </c>
      <c r="I140" s="152"/>
      <c r="J140" s="152"/>
      <c r="K140" s="152"/>
      <c r="L140" s="152"/>
    </row>
    <row r="141" spans="1:12" ht="15" customHeight="1">
      <c r="A141" s="409" t="s">
        <v>442</v>
      </c>
      <c r="B141" s="410" t="s">
        <v>443</v>
      </c>
      <c r="C141" s="411">
        <v>39972</v>
      </c>
      <c r="D141" s="411">
        <v>41988</v>
      </c>
      <c r="E141" s="411">
        <v>44124</v>
      </c>
      <c r="F141" s="411">
        <v>46332</v>
      </c>
      <c r="G141" s="411">
        <v>48708</v>
      </c>
    </row>
    <row r="142" spans="1:12" ht="15" customHeight="1">
      <c r="A142" s="409" t="s">
        <v>444</v>
      </c>
      <c r="B142" s="410" t="s">
        <v>303</v>
      </c>
      <c r="C142" s="411">
        <v>56496</v>
      </c>
      <c r="D142" s="411">
        <v>59352</v>
      </c>
      <c r="E142" s="411">
        <v>62328</v>
      </c>
      <c r="F142" s="411">
        <v>65472</v>
      </c>
      <c r="G142" s="411">
        <v>68796</v>
      </c>
    </row>
    <row r="143" spans="1:12" ht="15" customHeight="1">
      <c r="A143" s="409" t="s">
        <v>445</v>
      </c>
      <c r="B143" s="410" t="s">
        <v>297</v>
      </c>
      <c r="C143" s="411">
        <v>46800</v>
      </c>
      <c r="D143" s="411">
        <v>49164</v>
      </c>
      <c r="E143" s="411">
        <v>51636</v>
      </c>
      <c r="F143" s="411">
        <v>54216</v>
      </c>
      <c r="G143" s="411">
        <v>56976</v>
      </c>
    </row>
    <row r="144" spans="1:12" ht="15" customHeight="1">
      <c r="A144" s="409" t="s">
        <v>446</v>
      </c>
      <c r="B144" s="410" t="s">
        <v>301</v>
      </c>
      <c r="C144" s="411">
        <v>51300</v>
      </c>
      <c r="D144" s="411">
        <v>53880</v>
      </c>
      <c r="E144" s="411">
        <v>56616</v>
      </c>
      <c r="F144" s="411">
        <v>59436</v>
      </c>
      <c r="G144" s="411">
        <v>62436</v>
      </c>
    </row>
    <row r="145" spans="1:7" ht="15" customHeight="1">
      <c r="A145" s="409" t="s">
        <v>447</v>
      </c>
      <c r="B145" s="410" t="s">
        <v>117</v>
      </c>
      <c r="C145" s="411">
        <v>77616</v>
      </c>
      <c r="D145" s="411">
        <v>81528</v>
      </c>
      <c r="E145" s="411">
        <v>85632</v>
      </c>
      <c r="F145" s="411">
        <v>89964</v>
      </c>
      <c r="G145" s="411">
        <v>94500</v>
      </c>
    </row>
    <row r="146" spans="1:7" ht="15" customHeight="1">
      <c r="A146" s="409" t="s">
        <v>448</v>
      </c>
      <c r="B146" s="410" t="s">
        <v>303</v>
      </c>
      <c r="C146" s="411">
        <v>56496</v>
      </c>
      <c r="D146" s="411">
        <v>59352</v>
      </c>
      <c r="E146" s="411">
        <v>62328</v>
      </c>
      <c r="F146" s="411">
        <v>65472</v>
      </c>
      <c r="G146" s="411">
        <v>68796</v>
      </c>
    </row>
    <row r="147" spans="1:7" ht="15" customHeight="1">
      <c r="A147" s="409" t="s">
        <v>449</v>
      </c>
      <c r="B147" s="410" t="s">
        <v>152</v>
      </c>
      <c r="C147" s="411">
        <v>71076</v>
      </c>
      <c r="D147" s="411">
        <v>74640</v>
      </c>
      <c r="E147" s="411">
        <v>78444</v>
      </c>
      <c r="F147" s="411">
        <v>82344</v>
      </c>
      <c r="G147" s="411">
        <v>86532</v>
      </c>
    </row>
    <row r="148" spans="1:7" ht="15" customHeight="1">
      <c r="A148" s="409" t="s">
        <v>450</v>
      </c>
      <c r="B148" s="410" t="s">
        <v>117</v>
      </c>
      <c r="C148" s="411">
        <v>77616</v>
      </c>
      <c r="D148" s="411">
        <v>81528</v>
      </c>
      <c r="E148" s="411">
        <v>85632</v>
      </c>
      <c r="F148" s="411">
        <v>89964</v>
      </c>
      <c r="G148" s="411">
        <v>94500</v>
      </c>
    </row>
    <row r="149" spans="1:7" ht="15" customHeight="1">
      <c r="A149" s="409" t="s">
        <v>451</v>
      </c>
      <c r="B149" s="410" t="s">
        <v>303</v>
      </c>
      <c r="C149" s="411">
        <v>56496</v>
      </c>
      <c r="D149" s="411">
        <v>59352</v>
      </c>
      <c r="E149" s="411">
        <v>62328</v>
      </c>
      <c r="F149" s="411">
        <v>65472</v>
      </c>
      <c r="G149" s="411">
        <v>68796</v>
      </c>
    </row>
    <row r="150" spans="1:7" ht="15" customHeight="1">
      <c r="A150" s="409" t="s">
        <v>452</v>
      </c>
      <c r="B150" s="410" t="s">
        <v>345</v>
      </c>
      <c r="C150" s="411">
        <v>58980</v>
      </c>
      <c r="D150" s="411">
        <v>61944</v>
      </c>
      <c r="E150" s="411">
        <v>65088</v>
      </c>
      <c r="F150" s="411">
        <v>68340</v>
      </c>
      <c r="G150" s="411">
        <v>71820</v>
      </c>
    </row>
    <row r="151" spans="1:7" ht="15" customHeight="1">
      <c r="A151" s="409" t="s">
        <v>453</v>
      </c>
      <c r="B151" s="410" t="s">
        <v>115</v>
      </c>
      <c r="C151" s="411">
        <v>74052</v>
      </c>
      <c r="D151" s="411">
        <v>77808</v>
      </c>
      <c r="E151" s="411">
        <v>81708</v>
      </c>
      <c r="F151" s="411">
        <v>85824</v>
      </c>
      <c r="G151" s="411">
        <v>90180</v>
      </c>
    </row>
    <row r="152" spans="1:7" ht="15" customHeight="1">
      <c r="A152" s="409" t="s">
        <v>454</v>
      </c>
      <c r="B152" s="410" t="s">
        <v>301</v>
      </c>
      <c r="C152" s="411">
        <v>51300</v>
      </c>
      <c r="D152" s="411">
        <v>53880</v>
      </c>
      <c r="E152" s="411">
        <v>56616</v>
      </c>
      <c r="F152" s="411">
        <v>59436</v>
      </c>
      <c r="G152" s="411">
        <v>62436</v>
      </c>
    </row>
    <row r="153" spans="1:7" ht="15" customHeight="1">
      <c r="A153" s="409" t="s">
        <v>455</v>
      </c>
      <c r="B153" s="410" t="s">
        <v>301</v>
      </c>
      <c r="C153" s="411">
        <v>51300</v>
      </c>
      <c r="D153" s="411">
        <v>53880</v>
      </c>
      <c r="E153" s="411">
        <v>56616</v>
      </c>
      <c r="F153" s="411">
        <v>59436</v>
      </c>
      <c r="G153" s="411">
        <v>62436</v>
      </c>
    </row>
    <row r="154" spans="1:7" ht="15" customHeight="1">
      <c r="A154" s="409" t="s">
        <v>456</v>
      </c>
      <c r="B154" s="410" t="s">
        <v>111</v>
      </c>
      <c r="C154" s="411">
        <v>65400</v>
      </c>
      <c r="D154" s="411">
        <v>68676</v>
      </c>
      <c r="E154" s="411">
        <v>72168</v>
      </c>
      <c r="F154" s="411">
        <v>75804</v>
      </c>
      <c r="G154" s="411">
        <v>79608</v>
      </c>
    </row>
    <row r="155" spans="1:7" ht="15" customHeight="1">
      <c r="A155" s="409" t="s">
        <v>457</v>
      </c>
      <c r="B155" s="410" t="s">
        <v>292</v>
      </c>
      <c r="C155" s="411">
        <v>61704</v>
      </c>
      <c r="D155" s="411">
        <v>64824</v>
      </c>
      <c r="E155" s="411">
        <v>68124</v>
      </c>
      <c r="F155" s="411">
        <v>71520</v>
      </c>
      <c r="G155" s="411">
        <v>75120</v>
      </c>
    </row>
    <row r="156" spans="1:7" ht="15" customHeight="1">
      <c r="A156" s="409" t="s">
        <v>458</v>
      </c>
      <c r="B156" s="410" t="s">
        <v>111</v>
      </c>
      <c r="C156" s="411">
        <v>65400</v>
      </c>
      <c r="D156" s="411">
        <v>68676</v>
      </c>
      <c r="E156" s="411">
        <v>72168</v>
      </c>
      <c r="F156" s="411">
        <v>75804</v>
      </c>
      <c r="G156" s="411">
        <v>79608</v>
      </c>
    </row>
    <row r="157" spans="1:7" ht="15" customHeight="1">
      <c r="A157" s="409" t="s">
        <v>459</v>
      </c>
      <c r="B157" s="410" t="s">
        <v>111</v>
      </c>
      <c r="C157" s="411">
        <v>65400</v>
      </c>
      <c r="D157" s="411">
        <v>68676</v>
      </c>
      <c r="E157" s="411">
        <v>72168</v>
      </c>
      <c r="F157" s="411">
        <v>75804</v>
      </c>
      <c r="G157" s="411">
        <v>79608</v>
      </c>
    </row>
    <row r="158" spans="1:7" ht="15" customHeight="1">
      <c r="A158" s="409" t="s">
        <v>460</v>
      </c>
      <c r="B158" s="410" t="s">
        <v>111</v>
      </c>
      <c r="C158" s="411">
        <v>65400</v>
      </c>
      <c r="D158" s="411">
        <v>68676</v>
      </c>
      <c r="E158" s="411">
        <v>72168</v>
      </c>
      <c r="F158" s="411">
        <v>75804</v>
      </c>
      <c r="G158" s="411">
        <v>79608</v>
      </c>
    </row>
    <row r="159" spans="1:7" ht="15" customHeight="1">
      <c r="A159" s="409" t="s">
        <v>461</v>
      </c>
      <c r="B159" s="410" t="s">
        <v>111</v>
      </c>
      <c r="C159" s="411">
        <v>65400</v>
      </c>
      <c r="D159" s="411">
        <v>68676</v>
      </c>
      <c r="E159" s="411">
        <v>72168</v>
      </c>
      <c r="F159" s="411">
        <v>75804</v>
      </c>
      <c r="G159" s="411">
        <v>79608</v>
      </c>
    </row>
    <row r="160" spans="1:7" ht="15" customHeight="1">
      <c r="A160" s="409" t="s">
        <v>462</v>
      </c>
      <c r="B160" s="410" t="s">
        <v>292</v>
      </c>
      <c r="C160" s="411">
        <v>61704</v>
      </c>
      <c r="D160" s="411">
        <v>64824</v>
      </c>
      <c r="E160" s="411">
        <v>68124</v>
      </c>
      <c r="F160" s="411">
        <v>71520</v>
      </c>
      <c r="G160" s="411">
        <v>75120</v>
      </c>
    </row>
    <row r="161" spans="1:7" ht="15" customHeight="1">
      <c r="A161" s="409" t="s">
        <v>463</v>
      </c>
      <c r="B161" s="410" t="s">
        <v>303</v>
      </c>
      <c r="C161" s="411">
        <v>56496</v>
      </c>
      <c r="D161" s="411">
        <v>59352</v>
      </c>
      <c r="E161" s="411">
        <v>62328</v>
      </c>
      <c r="F161" s="411">
        <v>65472</v>
      </c>
      <c r="G161" s="411">
        <v>68796</v>
      </c>
    </row>
    <row r="162" spans="1:7" ht="15" customHeight="1">
      <c r="A162" s="409" t="s">
        <v>464</v>
      </c>
      <c r="B162" s="410" t="s">
        <v>111</v>
      </c>
      <c r="C162" s="411">
        <v>65400</v>
      </c>
      <c r="D162" s="411">
        <v>68676</v>
      </c>
      <c r="E162" s="411">
        <v>72168</v>
      </c>
      <c r="F162" s="411">
        <v>75804</v>
      </c>
      <c r="G162" s="411">
        <v>79608</v>
      </c>
    </row>
    <row r="163" spans="1:7" ht="15" customHeight="1">
      <c r="A163" s="409" t="s">
        <v>465</v>
      </c>
      <c r="B163" s="410" t="s">
        <v>111</v>
      </c>
      <c r="C163" s="411">
        <v>65400</v>
      </c>
      <c r="D163" s="411">
        <v>68676</v>
      </c>
      <c r="E163" s="411">
        <v>72168</v>
      </c>
      <c r="F163" s="411">
        <v>75804</v>
      </c>
      <c r="G163" s="411">
        <v>79608</v>
      </c>
    </row>
    <row r="164" spans="1:7" ht="15" customHeight="1">
      <c r="A164" s="409" t="s">
        <v>466</v>
      </c>
      <c r="B164" s="410" t="s">
        <v>303</v>
      </c>
      <c r="C164" s="411">
        <v>56496</v>
      </c>
      <c r="D164" s="411">
        <v>59352</v>
      </c>
      <c r="E164" s="411">
        <v>62328</v>
      </c>
      <c r="F164" s="411">
        <v>65472</v>
      </c>
      <c r="G164" s="411">
        <v>68796</v>
      </c>
    </row>
    <row r="165" spans="1:7" ht="15" customHeight="1">
      <c r="A165" s="409" t="s">
        <v>467</v>
      </c>
      <c r="B165" s="410" t="s">
        <v>145</v>
      </c>
      <c r="C165" s="411">
        <v>68052</v>
      </c>
      <c r="D165" s="411">
        <v>71412</v>
      </c>
      <c r="E165" s="411">
        <v>75060</v>
      </c>
      <c r="F165" s="411">
        <v>78816</v>
      </c>
      <c r="G165" s="411">
        <v>82800</v>
      </c>
    </row>
    <row r="166" spans="1:7" ht="15" customHeight="1">
      <c r="A166" s="409" t="s">
        <v>468</v>
      </c>
      <c r="B166" s="410" t="s">
        <v>145</v>
      </c>
      <c r="C166" s="411">
        <v>68052</v>
      </c>
      <c r="D166" s="411">
        <v>71412</v>
      </c>
      <c r="E166" s="411">
        <v>75060</v>
      </c>
      <c r="F166" s="411">
        <v>78816</v>
      </c>
      <c r="G166" s="411">
        <v>82800</v>
      </c>
    </row>
    <row r="167" spans="1:7" ht="15" customHeight="1">
      <c r="A167" s="409" t="s">
        <v>469</v>
      </c>
      <c r="B167" s="410" t="s">
        <v>303</v>
      </c>
      <c r="C167" s="411">
        <v>56496</v>
      </c>
      <c r="D167" s="411">
        <v>59352</v>
      </c>
      <c r="E167" s="411">
        <v>62328</v>
      </c>
      <c r="F167" s="411">
        <v>65472</v>
      </c>
      <c r="G167" s="411">
        <v>68796</v>
      </c>
    </row>
    <row r="168" spans="1:7" ht="15" customHeight="1">
      <c r="A168" s="409" t="s">
        <v>470</v>
      </c>
      <c r="B168" s="410" t="s">
        <v>323</v>
      </c>
      <c r="C168" s="411">
        <v>48924</v>
      </c>
      <c r="D168" s="411">
        <v>51444</v>
      </c>
      <c r="E168" s="411">
        <v>53988</v>
      </c>
      <c r="F168" s="411">
        <v>56712</v>
      </c>
      <c r="G168" s="411">
        <v>59580</v>
      </c>
    </row>
    <row r="169" spans="1:7" ht="15" customHeight="1">
      <c r="A169" s="409" t="s">
        <v>471</v>
      </c>
      <c r="B169" s="410" t="s">
        <v>145</v>
      </c>
      <c r="C169" s="411">
        <v>68052</v>
      </c>
      <c r="D169" s="411">
        <v>71412</v>
      </c>
      <c r="E169" s="411">
        <v>75060</v>
      </c>
      <c r="F169" s="411">
        <v>78816</v>
      </c>
      <c r="G169" s="411">
        <v>82800</v>
      </c>
    </row>
    <row r="170" spans="1:7" ht="15" customHeight="1">
      <c r="A170" s="409" t="s">
        <v>472</v>
      </c>
      <c r="B170" s="410" t="s">
        <v>314</v>
      </c>
      <c r="C170" s="411">
        <v>67644</v>
      </c>
      <c r="D170" s="411">
        <v>71040</v>
      </c>
      <c r="E170" s="411">
        <v>74664</v>
      </c>
      <c r="F170" s="411">
        <v>78372</v>
      </c>
      <c r="G170" s="411">
        <v>82356</v>
      </c>
    </row>
    <row r="171" spans="1:7" ht="15" customHeight="1">
      <c r="A171" s="409" t="s">
        <v>473</v>
      </c>
      <c r="B171" s="410" t="s">
        <v>474</v>
      </c>
      <c r="C171" s="411">
        <v>67644</v>
      </c>
      <c r="D171" s="411">
        <v>71040</v>
      </c>
      <c r="E171" s="411">
        <v>74664</v>
      </c>
      <c r="F171" s="411">
        <v>78372</v>
      </c>
      <c r="G171" s="411">
        <v>82356</v>
      </c>
    </row>
    <row r="172" spans="1:7" ht="15" customHeight="1">
      <c r="A172" s="409" t="s">
        <v>475</v>
      </c>
      <c r="B172" s="410" t="s">
        <v>145</v>
      </c>
      <c r="C172" s="411">
        <v>68052</v>
      </c>
      <c r="D172" s="411">
        <v>71412</v>
      </c>
      <c r="E172" s="411">
        <v>75060</v>
      </c>
      <c r="F172" s="411">
        <v>78816</v>
      </c>
      <c r="G172" s="411">
        <v>82800</v>
      </c>
    </row>
    <row r="173" spans="1:7" ht="15" customHeight="1">
      <c r="A173" s="409" t="s">
        <v>476</v>
      </c>
      <c r="B173" s="410" t="s">
        <v>152</v>
      </c>
      <c r="C173" s="411">
        <v>71076</v>
      </c>
      <c r="D173" s="411">
        <v>74640</v>
      </c>
      <c r="E173" s="411">
        <v>78444</v>
      </c>
      <c r="F173" s="411">
        <v>82344</v>
      </c>
      <c r="G173" s="411">
        <v>86532</v>
      </c>
    </row>
    <row r="174" spans="1:7" ht="15" customHeight="1">
      <c r="A174" s="409" t="s">
        <v>477</v>
      </c>
      <c r="B174" s="410" t="s">
        <v>115</v>
      </c>
      <c r="C174" s="411">
        <v>74052</v>
      </c>
      <c r="D174" s="411">
        <v>77808</v>
      </c>
      <c r="E174" s="411">
        <v>81708</v>
      </c>
      <c r="F174" s="411">
        <v>85824</v>
      </c>
      <c r="G174" s="411">
        <v>90180</v>
      </c>
    </row>
    <row r="175" spans="1:7" ht="15" customHeight="1">
      <c r="A175" s="409" t="s">
        <v>478</v>
      </c>
      <c r="B175" s="410" t="s">
        <v>145</v>
      </c>
      <c r="C175" s="411">
        <v>68052</v>
      </c>
      <c r="D175" s="411">
        <v>71412</v>
      </c>
      <c r="E175" s="411">
        <v>75060</v>
      </c>
      <c r="F175" s="411">
        <v>78816</v>
      </c>
      <c r="G175" s="411">
        <v>82800</v>
      </c>
    </row>
    <row r="176" spans="1:7" ht="15" customHeight="1">
      <c r="A176" s="409" t="s">
        <v>479</v>
      </c>
      <c r="B176" s="410" t="s">
        <v>145</v>
      </c>
      <c r="C176" s="411">
        <v>68052</v>
      </c>
      <c r="D176" s="411">
        <v>71412</v>
      </c>
      <c r="E176" s="411">
        <v>75060</v>
      </c>
      <c r="F176" s="411">
        <v>78816</v>
      </c>
      <c r="G176" s="411">
        <v>82800</v>
      </c>
    </row>
    <row r="177" spans="1:7" ht="15" customHeight="1">
      <c r="A177" s="409" t="s">
        <v>480</v>
      </c>
      <c r="B177" s="410" t="s">
        <v>109</v>
      </c>
      <c r="C177" s="411">
        <v>85896</v>
      </c>
      <c r="D177" s="411">
        <v>90252</v>
      </c>
      <c r="E177" s="411">
        <v>94776</v>
      </c>
      <c r="F177" s="411">
        <v>99540</v>
      </c>
      <c r="G177" s="411">
        <v>104544</v>
      </c>
    </row>
    <row r="178" spans="1:7" ht="15" customHeight="1">
      <c r="A178" s="409" t="s">
        <v>481</v>
      </c>
      <c r="B178" s="410" t="s">
        <v>117</v>
      </c>
      <c r="C178" s="411">
        <v>77616</v>
      </c>
      <c r="D178" s="411">
        <v>81528</v>
      </c>
      <c r="E178" s="411">
        <v>85632</v>
      </c>
      <c r="F178" s="411">
        <v>89964</v>
      </c>
      <c r="G178" s="411">
        <v>94500</v>
      </c>
    </row>
    <row r="179" spans="1:7" ht="15" customHeight="1">
      <c r="A179" s="409" t="s">
        <v>482</v>
      </c>
      <c r="B179" s="410" t="s">
        <v>109</v>
      </c>
      <c r="C179" s="411">
        <v>85896</v>
      </c>
      <c r="D179" s="411">
        <v>90252</v>
      </c>
      <c r="E179" s="411">
        <v>94776</v>
      </c>
      <c r="F179" s="411">
        <v>99540</v>
      </c>
      <c r="G179" s="411">
        <v>104544</v>
      </c>
    </row>
    <row r="180" spans="1:7" ht="15" customHeight="1">
      <c r="A180" s="409" t="s">
        <v>483</v>
      </c>
      <c r="B180" s="410" t="s">
        <v>109</v>
      </c>
      <c r="C180" s="411">
        <v>85896</v>
      </c>
      <c r="D180" s="411">
        <v>90252</v>
      </c>
      <c r="E180" s="411">
        <v>94776</v>
      </c>
      <c r="F180" s="411">
        <v>99540</v>
      </c>
      <c r="G180" s="411">
        <v>104544</v>
      </c>
    </row>
    <row r="181" spans="1:7" ht="15" customHeight="1">
      <c r="A181" s="409" t="s">
        <v>484</v>
      </c>
      <c r="B181" s="410" t="s">
        <v>117</v>
      </c>
      <c r="C181" s="411">
        <v>77616</v>
      </c>
      <c r="D181" s="411">
        <v>81528</v>
      </c>
      <c r="E181" s="411">
        <v>85632</v>
      </c>
      <c r="F181" s="411">
        <v>89964</v>
      </c>
      <c r="G181" s="411">
        <v>94500</v>
      </c>
    </row>
    <row r="182" spans="1:7" ht="15" customHeight="1">
      <c r="A182" s="409" t="s">
        <v>485</v>
      </c>
      <c r="B182" s="410" t="s">
        <v>117</v>
      </c>
      <c r="C182" s="411">
        <v>77616</v>
      </c>
      <c r="D182" s="411">
        <v>81528</v>
      </c>
      <c r="E182" s="411">
        <v>85632</v>
      </c>
      <c r="F182" s="411">
        <v>89964</v>
      </c>
      <c r="G182" s="411">
        <v>94500</v>
      </c>
    </row>
    <row r="183" spans="1:7" ht="15" customHeight="1">
      <c r="A183" s="409" t="s">
        <v>486</v>
      </c>
      <c r="B183" s="410" t="s">
        <v>117</v>
      </c>
      <c r="C183" s="411">
        <v>77616</v>
      </c>
      <c r="D183" s="411">
        <v>81528</v>
      </c>
      <c r="E183" s="411">
        <v>85632</v>
      </c>
      <c r="F183" s="411">
        <v>89964</v>
      </c>
      <c r="G183" s="411">
        <v>94500</v>
      </c>
    </row>
    <row r="184" spans="1:7" ht="15" customHeight="1">
      <c r="A184" s="409" t="s">
        <v>487</v>
      </c>
      <c r="B184" s="410" t="s">
        <v>117</v>
      </c>
      <c r="C184" s="411">
        <v>77616</v>
      </c>
      <c r="D184" s="411">
        <v>81528</v>
      </c>
      <c r="E184" s="411">
        <v>85632</v>
      </c>
      <c r="F184" s="411">
        <v>89964</v>
      </c>
      <c r="G184" s="411">
        <v>94500</v>
      </c>
    </row>
    <row r="185" spans="1:7" ht="15" customHeight="1">
      <c r="A185" s="409" t="s">
        <v>488</v>
      </c>
      <c r="B185" s="410" t="s">
        <v>152</v>
      </c>
      <c r="C185" s="411">
        <v>71076</v>
      </c>
      <c r="D185" s="411">
        <v>74640</v>
      </c>
      <c r="E185" s="411">
        <v>78444</v>
      </c>
      <c r="F185" s="411">
        <v>82344</v>
      </c>
      <c r="G185" s="411">
        <v>86532</v>
      </c>
    </row>
    <row r="186" spans="1:7" ht="15" customHeight="1">
      <c r="A186" s="409" t="s">
        <v>489</v>
      </c>
      <c r="B186" s="410" t="s">
        <v>292</v>
      </c>
      <c r="C186" s="411">
        <v>61704</v>
      </c>
      <c r="D186" s="411">
        <v>64824</v>
      </c>
      <c r="E186" s="411">
        <v>68124</v>
      </c>
      <c r="F186" s="411">
        <v>71520</v>
      </c>
      <c r="G186" s="411">
        <v>75120</v>
      </c>
    </row>
    <row r="187" spans="1:7" ht="15" customHeight="1">
      <c r="A187" s="409" t="s">
        <v>490</v>
      </c>
      <c r="B187" s="410" t="s">
        <v>303</v>
      </c>
      <c r="C187" s="411">
        <v>56496</v>
      </c>
      <c r="D187" s="411">
        <v>59352</v>
      </c>
      <c r="E187" s="411">
        <v>62328</v>
      </c>
      <c r="F187" s="411">
        <v>65472</v>
      </c>
      <c r="G187" s="411">
        <v>68796</v>
      </c>
    </row>
    <row r="188" spans="1:7" ht="15" customHeight="1">
      <c r="A188" s="409" t="s">
        <v>491</v>
      </c>
      <c r="B188" s="410" t="s">
        <v>345</v>
      </c>
      <c r="C188" s="411">
        <v>58980</v>
      </c>
      <c r="D188" s="411">
        <v>61944</v>
      </c>
      <c r="E188" s="411">
        <v>65088</v>
      </c>
      <c r="F188" s="411">
        <v>68340</v>
      </c>
      <c r="G188" s="411">
        <v>71820</v>
      </c>
    </row>
    <row r="189" spans="1:7" ht="15" customHeight="1">
      <c r="A189" s="409" t="s">
        <v>492</v>
      </c>
      <c r="B189" s="410" t="s">
        <v>292</v>
      </c>
      <c r="C189" s="411">
        <v>61704</v>
      </c>
      <c r="D189" s="411">
        <v>64824</v>
      </c>
      <c r="E189" s="411">
        <v>68124</v>
      </c>
      <c r="F189" s="411">
        <v>71520</v>
      </c>
      <c r="G189" s="411">
        <v>75120</v>
      </c>
    </row>
    <row r="190" spans="1:7" ht="15" customHeight="1">
      <c r="A190" s="409" t="s">
        <v>493</v>
      </c>
      <c r="B190" s="410" t="s">
        <v>327</v>
      </c>
      <c r="C190" s="411">
        <v>54000</v>
      </c>
      <c r="D190" s="411">
        <v>56736</v>
      </c>
      <c r="E190" s="411">
        <v>59616</v>
      </c>
      <c r="F190" s="411">
        <v>62580</v>
      </c>
      <c r="G190" s="411">
        <v>65736</v>
      </c>
    </row>
    <row r="191" spans="1:7" ht="15" customHeight="1">
      <c r="A191" s="409" t="s">
        <v>494</v>
      </c>
      <c r="B191" s="410" t="s">
        <v>292</v>
      </c>
      <c r="C191" s="411">
        <v>61704</v>
      </c>
      <c r="D191" s="411">
        <v>64824</v>
      </c>
      <c r="E191" s="411">
        <v>68124</v>
      </c>
      <c r="F191" s="411">
        <v>71520</v>
      </c>
      <c r="G191" s="411">
        <v>75120</v>
      </c>
    </row>
    <row r="192" spans="1:7" ht="15" customHeight="1">
      <c r="A192" s="409" t="s">
        <v>495</v>
      </c>
      <c r="B192" s="410" t="s">
        <v>152</v>
      </c>
      <c r="C192" s="411">
        <v>71076</v>
      </c>
      <c r="D192" s="411">
        <v>74640</v>
      </c>
      <c r="E192" s="411">
        <v>78444</v>
      </c>
      <c r="F192" s="411">
        <v>82344</v>
      </c>
      <c r="G192" s="411">
        <v>86532</v>
      </c>
    </row>
    <row r="193" spans="1:7" ht="15" customHeight="1">
      <c r="A193" s="409" t="s">
        <v>496</v>
      </c>
      <c r="B193" s="410" t="s">
        <v>303</v>
      </c>
      <c r="C193" s="411">
        <v>56496</v>
      </c>
      <c r="D193" s="411">
        <v>59352</v>
      </c>
      <c r="E193" s="411">
        <v>62328</v>
      </c>
      <c r="F193" s="411">
        <v>65472</v>
      </c>
      <c r="G193" s="411">
        <v>68796</v>
      </c>
    </row>
    <row r="194" spans="1:7" ht="15" customHeight="1">
      <c r="A194" s="409" t="s">
        <v>497</v>
      </c>
      <c r="B194" s="410" t="s">
        <v>292</v>
      </c>
      <c r="C194" s="411">
        <v>61704</v>
      </c>
      <c r="D194" s="411">
        <v>64824</v>
      </c>
      <c r="E194" s="411">
        <v>68124</v>
      </c>
      <c r="F194" s="411">
        <v>71520</v>
      </c>
      <c r="G194" s="411">
        <v>75120</v>
      </c>
    </row>
    <row r="195" spans="1:7" ht="15" customHeight="1">
      <c r="A195" s="409" t="s">
        <v>498</v>
      </c>
      <c r="B195" s="410" t="s">
        <v>292</v>
      </c>
      <c r="C195" s="411">
        <v>61704</v>
      </c>
      <c r="D195" s="411">
        <v>64824</v>
      </c>
      <c r="E195" s="411">
        <v>68124</v>
      </c>
      <c r="F195" s="411">
        <v>71520</v>
      </c>
      <c r="G195" s="411">
        <v>75120</v>
      </c>
    </row>
    <row r="196" spans="1:7" ht="15" customHeight="1">
      <c r="A196" s="409" t="s">
        <v>499</v>
      </c>
      <c r="B196" s="410" t="s">
        <v>292</v>
      </c>
      <c r="C196" s="411">
        <v>61704</v>
      </c>
      <c r="D196" s="411">
        <v>64824</v>
      </c>
      <c r="E196" s="411">
        <v>68124</v>
      </c>
      <c r="F196" s="411">
        <v>71520</v>
      </c>
      <c r="G196" s="411">
        <v>75120</v>
      </c>
    </row>
    <row r="197" spans="1:7" ht="15" customHeight="1">
      <c r="A197" s="409" t="s">
        <v>500</v>
      </c>
      <c r="B197" s="410" t="s">
        <v>145</v>
      </c>
      <c r="C197" s="411">
        <v>68052</v>
      </c>
      <c r="D197" s="411">
        <v>71412</v>
      </c>
      <c r="E197" s="411">
        <v>75060</v>
      </c>
      <c r="F197" s="411">
        <v>78816</v>
      </c>
      <c r="G197" s="411">
        <v>82800</v>
      </c>
    </row>
    <row r="198" spans="1:7" ht="15" customHeight="1">
      <c r="A198" s="409" t="s">
        <v>501</v>
      </c>
      <c r="B198" s="410" t="s">
        <v>115</v>
      </c>
      <c r="C198" s="411">
        <v>74052</v>
      </c>
      <c r="D198" s="411">
        <v>77808</v>
      </c>
      <c r="E198" s="411">
        <v>81708</v>
      </c>
      <c r="F198" s="411">
        <v>85824</v>
      </c>
      <c r="G198" s="411">
        <v>90180</v>
      </c>
    </row>
    <row r="199" spans="1:7" ht="15" customHeight="1">
      <c r="A199" s="409" t="s">
        <v>502</v>
      </c>
      <c r="B199" s="410" t="s">
        <v>297</v>
      </c>
      <c r="C199" s="411">
        <v>46800</v>
      </c>
      <c r="D199" s="411">
        <v>49164</v>
      </c>
      <c r="E199" s="411">
        <v>51636</v>
      </c>
      <c r="F199" s="411">
        <v>54216</v>
      </c>
      <c r="G199" s="411">
        <v>56976</v>
      </c>
    </row>
    <row r="200" spans="1:7" ht="15" customHeight="1">
      <c r="A200" s="409" t="s">
        <v>503</v>
      </c>
      <c r="B200" s="410" t="s">
        <v>111</v>
      </c>
      <c r="C200" s="411">
        <v>65400</v>
      </c>
      <c r="D200" s="411">
        <v>68676</v>
      </c>
      <c r="E200" s="411">
        <v>72168</v>
      </c>
      <c r="F200" s="411">
        <v>75804</v>
      </c>
      <c r="G200" s="411">
        <v>79608</v>
      </c>
    </row>
    <row r="201" spans="1:7" ht="15" customHeight="1">
      <c r="A201" s="409" t="s">
        <v>504</v>
      </c>
      <c r="B201" s="410" t="s">
        <v>303</v>
      </c>
      <c r="C201" s="411">
        <v>56496</v>
      </c>
      <c r="D201" s="411">
        <v>59352</v>
      </c>
      <c r="E201" s="411">
        <v>62328</v>
      </c>
      <c r="F201" s="411">
        <v>65472</v>
      </c>
      <c r="G201" s="411">
        <v>68796</v>
      </c>
    </row>
    <row r="202" spans="1:7" ht="15" customHeight="1">
      <c r="A202" s="409" t="s">
        <v>505</v>
      </c>
      <c r="B202" s="410" t="s">
        <v>145</v>
      </c>
      <c r="C202" s="411">
        <v>68052</v>
      </c>
      <c r="D202" s="411">
        <v>71412</v>
      </c>
      <c r="E202" s="411">
        <v>75060</v>
      </c>
      <c r="F202" s="411">
        <v>78816</v>
      </c>
      <c r="G202" s="411">
        <v>82800</v>
      </c>
    </row>
    <row r="203" spans="1:7" ht="15" customHeight="1">
      <c r="A203" s="409" t="s">
        <v>506</v>
      </c>
      <c r="B203" s="410" t="s">
        <v>145</v>
      </c>
      <c r="C203" s="411">
        <v>68052</v>
      </c>
      <c r="D203" s="411">
        <v>71412</v>
      </c>
      <c r="E203" s="411">
        <v>75060</v>
      </c>
      <c r="F203" s="411">
        <v>78816</v>
      </c>
      <c r="G203" s="411">
        <v>82800</v>
      </c>
    </row>
    <row r="204" spans="1:7" ht="15" customHeight="1">
      <c r="A204" s="409" t="s">
        <v>507</v>
      </c>
      <c r="B204" s="410" t="s">
        <v>145</v>
      </c>
      <c r="C204" s="411">
        <v>68052</v>
      </c>
      <c r="D204" s="411">
        <v>71412</v>
      </c>
      <c r="E204" s="411">
        <v>75060</v>
      </c>
      <c r="F204" s="411">
        <v>78816</v>
      </c>
      <c r="G204" s="411">
        <v>82800</v>
      </c>
    </row>
    <row r="205" spans="1:7" ht="15" customHeight="1">
      <c r="A205" s="409" t="s">
        <v>508</v>
      </c>
      <c r="B205" s="410" t="s">
        <v>115</v>
      </c>
      <c r="C205" s="411">
        <v>74052</v>
      </c>
      <c r="D205" s="411">
        <v>77808</v>
      </c>
      <c r="E205" s="411">
        <v>81708</v>
      </c>
      <c r="F205" s="411">
        <v>85824</v>
      </c>
      <c r="G205" s="411">
        <v>90180</v>
      </c>
    </row>
    <row r="206" spans="1:7" ht="15" customHeight="1">
      <c r="A206" s="409" t="s">
        <v>509</v>
      </c>
      <c r="B206" s="410" t="s">
        <v>115</v>
      </c>
      <c r="C206" s="411">
        <v>74052</v>
      </c>
      <c r="D206" s="411">
        <v>77808</v>
      </c>
      <c r="E206" s="411">
        <v>81708</v>
      </c>
      <c r="F206" s="411">
        <v>85824</v>
      </c>
      <c r="G206" s="411">
        <v>90180</v>
      </c>
    </row>
    <row r="207" spans="1:7" ht="15" customHeight="1">
      <c r="A207" s="409" t="s">
        <v>510</v>
      </c>
      <c r="B207" s="410" t="s">
        <v>122</v>
      </c>
      <c r="C207" s="411">
        <v>95688</v>
      </c>
      <c r="D207" s="411">
        <v>100512</v>
      </c>
      <c r="E207" s="411">
        <v>105588</v>
      </c>
      <c r="F207" s="411">
        <v>110892</v>
      </c>
      <c r="G207" s="411">
        <v>116460</v>
      </c>
    </row>
    <row r="208" spans="1:7" ht="15" customHeight="1">
      <c r="A208" s="409" t="s">
        <v>511</v>
      </c>
      <c r="B208" s="410" t="s">
        <v>301</v>
      </c>
      <c r="C208" s="411">
        <v>51300</v>
      </c>
      <c r="D208" s="411">
        <v>53880</v>
      </c>
      <c r="E208" s="411">
        <v>56616</v>
      </c>
      <c r="F208" s="411">
        <v>59436</v>
      </c>
      <c r="G208" s="411">
        <v>62436</v>
      </c>
    </row>
    <row r="209" spans="1:8" ht="15" customHeight="1">
      <c r="A209" s="409" t="s">
        <v>512</v>
      </c>
      <c r="B209" s="410" t="s">
        <v>292</v>
      </c>
      <c r="C209" s="411">
        <v>61704</v>
      </c>
      <c r="D209" s="411">
        <v>64824</v>
      </c>
      <c r="E209" s="411">
        <v>68124</v>
      </c>
      <c r="F209" s="411">
        <v>71520</v>
      </c>
      <c r="G209" s="411">
        <v>75120</v>
      </c>
    </row>
    <row r="210" spans="1:8" ht="15" customHeight="1">
      <c r="A210" s="409" t="s">
        <v>513</v>
      </c>
      <c r="B210" s="410" t="s">
        <v>115</v>
      </c>
      <c r="C210" s="411">
        <v>74052</v>
      </c>
      <c r="D210" s="411">
        <v>77808</v>
      </c>
      <c r="E210" s="411">
        <v>81708</v>
      </c>
      <c r="F210" s="411">
        <v>85824</v>
      </c>
      <c r="G210" s="411">
        <v>90180</v>
      </c>
    </row>
    <row r="211" spans="1:8" ht="15" customHeight="1">
      <c r="A211" s="409" t="s">
        <v>514</v>
      </c>
      <c r="B211" s="410" t="s">
        <v>115</v>
      </c>
      <c r="C211" s="411">
        <v>74052</v>
      </c>
      <c r="D211" s="411">
        <v>77808</v>
      </c>
      <c r="E211" s="411">
        <v>81708</v>
      </c>
      <c r="F211" s="411">
        <v>85824</v>
      </c>
      <c r="G211" s="411">
        <v>90180</v>
      </c>
    </row>
    <row r="212" spans="1:8" ht="15" customHeight="1">
      <c r="A212" s="409" t="s">
        <v>515</v>
      </c>
      <c r="B212" s="410" t="s">
        <v>292</v>
      </c>
      <c r="C212" s="411">
        <v>61704</v>
      </c>
      <c r="D212" s="411">
        <v>64824</v>
      </c>
      <c r="E212" s="411">
        <v>68124</v>
      </c>
      <c r="F212" s="411">
        <v>71520</v>
      </c>
      <c r="G212" s="411">
        <v>75120</v>
      </c>
    </row>
    <row r="213" spans="1:8" ht="15" customHeight="1">
      <c r="A213" s="409" t="s">
        <v>516</v>
      </c>
      <c r="B213" s="410" t="s">
        <v>292</v>
      </c>
      <c r="C213" s="411">
        <v>61704</v>
      </c>
      <c r="D213" s="411">
        <v>64824</v>
      </c>
      <c r="E213" s="411">
        <v>68124</v>
      </c>
      <c r="F213" s="411">
        <v>71520</v>
      </c>
      <c r="G213" s="411">
        <v>75120</v>
      </c>
    </row>
    <row r="214" spans="1:8" ht="15" customHeight="1">
      <c r="A214" s="409" t="s">
        <v>517</v>
      </c>
      <c r="B214" s="410" t="s">
        <v>145</v>
      </c>
      <c r="C214" s="411">
        <v>68052</v>
      </c>
      <c r="D214" s="411">
        <v>71412</v>
      </c>
      <c r="E214" s="411">
        <v>75060</v>
      </c>
      <c r="F214" s="411">
        <v>78816</v>
      </c>
      <c r="G214" s="411">
        <v>82800</v>
      </c>
    </row>
    <row r="215" spans="1:8" ht="15" customHeight="1">
      <c r="A215" s="409" t="s">
        <v>518</v>
      </c>
      <c r="B215" s="410" t="s">
        <v>301</v>
      </c>
      <c r="C215" s="411">
        <v>51300</v>
      </c>
      <c r="D215" s="411">
        <v>53880</v>
      </c>
      <c r="E215" s="411">
        <v>56616</v>
      </c>
      <c r="F215" s="411">
        <v>59436</v>
      </c>
      <c r="G215" s="411">
        <v>62436</v>
      </c>
    </row>
    <row r="216" spans="1:8" ht="15" customHeight="1">
      <c r="A216" s="409" t="s">
        <v>519</v>
      </c>
      <c r="B216" s="410" t="s">
        <v>117</v>
      </c>
      <c r="C216" s="411">
        <v>77616</v>
      </c>
      <c r="D216" s="411">
        <v>81528</v>
      </c>
      <c r="E216" s="411">
        <v>85632</v>
      </c>
      <c r="F216" s="411">
        <v>89964</v>
      </c>
      <c r="G216" s="411">
        <v>94500</v>
      </c>
    </row>
    <row r="217" spans="1:8" ht="15" customHeight="1">
      <c r="A217" s="409" t="s">
        <v>520</v>
      </c>
      <c r="B217" s="410" t="s">
        <v>109</v>
      </c>
      <c r="C217" s="411">
        <v>85896</v>
      </c>
      <c r="D217" s="411">
        <v>90252</v>
      </c>
      <c r="E217" s="411">
        <v>94776</v>
      </c>
      <c r="F217" s="411">
        <v>99540</v>
      </c>
      <c r="G217" s="411">
        <v>104544</v>
      </c>
    </row>
    <row r="218" spans="1:8" ht="15" customHeight="1">
      <c r="A218" s="409" t="s">
        <v>521</v>
      </c>
      <c r="B218" s="410" t="s">
        <v>292</v>
      </c>
      <c r="C218" s="411">
        <v>61704</v>
      </c>
      <c r="D218" s="411">
        <v>64824</v>
      </c>
      <c r="E218" s="411">
        <v>68124</v>
      </c>
      <c r="F218" s="411">
        <v>71520</v>
      </c>
      <c r="G218" s="411">
        <v>75120</v>
      </c>
    </row>
    <row r="219" spans="1:8" ht="15" customHeight="1">
      <c r="A219" s="409" t="s">
        <v>522</v>
      </c>
      <c r="B219" s="410" t="s">
        <v>152</v>
      </c>
      <c r="C219" s="411">
        <v>71076</v>
      </c>
      <c r="D219" s="411">
        <v>74640</v>
      </c>
      <c r="E219" s="411">
        <v>78444</v>
      </c>
      <c r="F219" s="411">
        <v>82344</v>
      </c>
      <c r="G219" s="411">
        <v>86532</v>
      </c>
    </row>
    <row r="220" spans="1:8" ht="15" customHeight="1">
      <c r="A220" s="409" t="s">
        <v>523</v>
      </c>
      <c r="B220" s="410" t="s">
        <v>124</v>
      </c>
      <c r="C220" s="411">
        <v>81564</v>
      </c>
      <c r="D220" s="411">
        <v>85692</v>
      </c>
      <c r="E220" s="411">
        <v>90000</v>
      </c>
      <c r="F220" s="411">
        <v>94548</v>
      </c>
      <c r="G220" s="411">
        <v>99300</v>
      </c>
    </row>
    <row r="221" spans="1:8" ht="15" customHeight="1">
      <c r="A221" s="409" t="s">
        <v>524</v>
      </c>
      <c r="B221" s="410" t="s">
        <v>297</v>
      </c>
      <c r="C221" s="411">
        <v>46800</v>
      </c>
      <c r="D221" s="411">
        <v>49164</v>
      </c>
      <c r="E221" s="411">
        <v>51636</v>
      </c>
      <c r="F221" s="411">
        <v>54216</v>
      </c>
      <c r="G221" s="411">
        <v>56976</v>
      </c>
    </row>
    <row r="222" spans="1:8" s="131" customFormat="1" ht="15" customHeight="1">
      <c r="A222" s="409" t="s">
        <v>525</v>
      </c>
      <c r="B222" s="410" t="s">
        <v>292</v>
      </c>
      <c r="C222" s="411">
        <v>61704</v>
      </c>
      <c r="D222" s="411">
        <v>64824</v>
      </c>
      <c r="E222" s="411">
        <v>68124</v>
      </c>
      <c r="F222" s="411">
        <v>71520</v>
      </c>
      <c r="G222" s="411">
        <v>75120</v>
      </c>
      <c r="H222"/>
    </row>
    <row r="223" spans="1:8" s="131" customFormat="1" ht="15" customHeight="1">
      <c r="A223" s="409" t="s">
        <v>526</v>
      </c>
      <c r="B223" s="410" t="s">
        <v>292</v>
      </c>
      <c r="C223" s="411">
        <v>61704</v>
      </c>
      <c r="D223" s="411">
        <v>64824</v>
      </c>
      <c r="E223" s="411">
        <v>68124</v>
      </c>
      <c r="F223" s="411">
        <v>71520</v>
      </c>
      <c r="G223" s="411">
        <v>75120</v>
      </c>
      <c r="H223"/>
    </row>
    <row r="224" spans="1:8" s="131" customFormat="1" ht="15" customHeight="1">
      <c r="A224" s="409" t="s">
        <v>527</v>
      </c>
      <c r="B224" s="410" t="s">
        <v>301</v>
      </c>
      <c r="C224" s="411">
        <v>51300</v>
      </c>
      <c r="D224" s="411">
        <v>53880</v>
      </c>
      <c r="E224" s="411">
        <v>56616</v>
      </c>
      <c r="F224" s="411">
        <v>59436</v>
      </c>
      <c r="G224" s="411">
        <v>62436</v>
      </c>
      <c r="H224"/>
    </row>
    <row r="225" spans="1:8" s="131" customFormat="1" ht="15" customHeight="1">
      <c r="A225" s="409" t="s">
        <v>528</v>
      </c>
      <c r="B225" s="410" t="s">
        <v>303</v>
      </c>
      <c r="C225" s="411">
        <v>56496</v>
      </c>
      <c r="D225" s="411">
        <v>59352</v>
      </c>
      <c r="E225" s="411">
        <v>62328</v>
      </c>
      <c r="F225" s="411">
        <v>65472</v>
      </c>
      <c r="G225" s="411">
        <v>68796</v>
      </c>
      <c r="H225"/>
    </row>
    <row r="226" spans="1:8" s="131" customFormat="1" ht="15" customHeight="1">
      <c r="A226" s="409" t="s">
        <v>529</v>
      </c>
      <c r="B226" s="410" t="s">
        <v>145</v>
      </c>
      <c r="C226" s="411">
        <v>68052</v>
      </c>
      <c r="D226" s="411">
        <v>71412</v>
      </c>
      <c r="E226" s="411">
        <v>75060</v>
      </c>
      <c r="F226" s="411">
        <v>78816</v>
      </c>
      <c r="G226" s="411">
        <v>82800</v>
      </c>
      <c r="H226"/>
    </row>
    <row r="227" spans="1:8" ht="15" customHeight="1">
      <c r="A227" s="409" t="s">
        <v>530</v>
      </c>
      <c r="B227" s="410" t="s">
        <v>303</v>
      </c>
      <c r="C227" s="411">
        <v>56496</v>
      </c>
      <c r="D227" s="411">
        <v>59352</v>
      </c>
      <c r="E227" s="411">
        <v>62328</v>
      </c>
      <c r="F227" s="411">
        <v>65472</v>
      </c>
      <c r="G227" s="411">
        <v>68796</v>
      </c>
    </row>
    <row r="228" spans="1:8" ht="15" customHeight="1">
      <c r="A228" s="409" t="s">
        <v>531</v>
      </c>
      <c r="B228" s="410" t="s">
        <v>145</v>
      </c>
      <c r="C228" s="411">
        <v>68052</v>
      </c>
      <c r="D228" s="411">
        <v>71412</v>
      </c>
      <c r="E228" s="411">
        <v>75060</v>
      </c>
      <c r="F228" s="411">
        <v>78816</v>
      </c>
      <c r="G228" s="411">
        <v>82800</v>
      </c>
    </row>
    <row r="229" spans="1:8" ht="15" customHeight="1">
      <c r="A229" s="409" t="s">
        <v>532</v>
      </c>
      <c r="B229" s="410" t="s">
        <v>145</v>
      </c>
      <c r="C229" s="411">
        <v>68052</v>
      </c>
      <c r="D229" s="411">
        <v>71412</v>
      </c>
      <c r="E229" s="411">
        <v>75060</v>
      </c>
      <c r="F229" s="411">
        <v>78816</v>
      </c>
      <c r="G229" s="411">
        <v>82800</v>
      </c>
    </row>
    <row r="230" spans="1:8" ht="15" customHeight="1">
      <c r="A230" s="409" t="s">
        <v>533</v>
      </c>
      <c r="B230" s="410" t="s">
        <v>297</v>
      </c>
      <c r="C230" s="411">
        <v>46800</v>
      </c>
      <c r="D230" s="411">
        <v>49164</v>
      </c>
      <c r="E230" s="411">
        <v>51636</v>
      </c>
      <c r="F230" s="411">
        <v>54216</v>
      </c>
      <c r="G230" s="411">
        <v>56976</v>
      </c>
    </row>
    <row r="231" spans="1:8" ht="15" customHeight="1">
      <c r="A231" s="409" t="s">
        <v>534</v>
      </c>
      <c r="B231" s="410" t="s">
        <v>345</v>
      </c>
      <c r="C231" s="411">
        <v>58980</v>
      </c>
      <c r="D231" s="411">
        <v>61944</v>
      </c>
      <c r="E231" s="411">
        <v>65088</v>
      </c>
      <c r="F231" s="411">
        <v>68340</v>
      </c>
      <c r="G231" s="411">
        <v>71820</v>
      </c>
    </row>
    <row r="232" spans="1:8" ht="15" customHeight="1">
      <c r="A232" s="409" t="s">
        <v>535</v>
      </c>
      <c r="B232" s="410" t="s">
        <v>115</v>
      </c>
      <c r="C232" s="411">
        <v>74052</v>
      </c>
      <c r="D232" s="411">
        <v>77808</v>
      </c>
      <c r="E232" s="411">
        <v>81708</v>
      </c>
      <c r="F232" s="411">
        <v>85824</v>
      </c>
      <c r="G232" s="411">
        <v>90180</v>
      </c>
    </row>
    <row r="233" spans="1:8" ht="15" customHeight="1">
      <c r="A233" s="409" t="s">
        <v>536</v>
      </c>
      <c r="B233" s="410" t="s">
        <v>323</v>
      </c>
      <c r="C233" s="411">
        <v>48924</v>
      </c>
      <c r="D233" s="411">
        <v>51444</v>
      </c>
      <c r="E233" s="411">
        <v>53988</v>
      </c>
      <c r="F233" s="411">
        <v>56712</v>
      </c>
      <c r="G233" s="411">
        <v>59580</v>
      </c>
    </row>
    <row r="234" spans="1:8" ht="15" customHeight="1">
      <c r="A234" s="409" t="s">
        <v>537</v>
      </c>
      <c r="B234" s="410" t="s">
        <v>111</v>
      </c>
      <c r="C234" s="411">
        <v>65400</v>
      </c>
      <c r="D234" s="411">
        <v>68676</v>
      </c>
      <c r="E234" s="411">
        <v>72168</v>
      </c>
      <c r="F234" s="411">
        <v>75804</v>
      </c>
      <c r="G234" s="411">
        <v>79608</v>
      </c>
    </row>
    <row r="235" spans="1:8" ht="15" customHeight="1">
      <c r="A235" s="409" t="s">
        <v>538</v>
      </c>
      <c r="B235" s="410" t="s">
        <v>117</v>
      </c>
      <c r="C235" s="411">
        <v>77616</v>
      </c>
      <c r="D235" s="411">
        <v>81528</v>
      </c>
      <c r="E235" s="411">
        <v>85632</v>
      </c>
      <c r="F235" s="411">
        <v>89964</v>
      </c>
      <c r="G235" s="411">
        <v>94500</v>
      </c>
    </row>
    <row r="236" spans="1:8" ht="15" customHeight="1">
      <c r="A236" s="409" t="s">
        <v>539</v>
      </c>
      <c r="B236" s="410" t="s">
        <v>109</v>
      </c>
      <c r="C236" s="411">
        <v>85896</v>
      </c>
      <c r="D236" s="411">
        <v>90252</v>
      </c>
      <c r="E236" s="411">
        <v>94776</v>
      </c>
      <c r="F236" s="411">
        <v>99540</v>
      </c>
      <c r="G236" s="411">
        <v>104544</v>
      </c>
    </row>
    <row r="237" spans="1:8" ht="15" customHeight="1">
      <c r="A237" s="409" t="s">
        <v>540</v>
      </c>
      <c r="B237" s="410" t="s">
        <v>301</v>
      </c>
      <c r="C237" s="411">
        <v>51300</v>
      </c>
      <c r="D237" s="411">
        <v>53880</v>
      </c>
      <c r="E237" s="411">
        <v>56616</v>
      </c>
      <c r="F237" s="411">
        <v>59436</v>
      </c>
      <c r="G237" s="411">
        <v>62436</v>
      </c>
    </row>
    <row r="238" spans="1:8" ht="15" customHeight="1">
      <c r="A238" s="409" t="s">
        <v>541</v>
      </c>
      <c r="B238" s="410" t="s">
        <v>113</v>
      </c>
      <c r="C238" s="411">
        <v>90456</v>
      </c>
      <c r="D238" s="411">
        <v>95004</v>
      </c>
      <c r="E238" s="411">
        <v>99792</v>
      </c>
      <c r="F238" s="411">
        <v>104844</v>
      </c>
      <c r="G238" s="411">
        <v>110100</v>
      </c>
    </row>
    <row r="239" spans="1:8" ht="15" customHeight="1">
      <c r="A239" s="409" t="s">
        <v>542</v>
      </c>
      <c r="B239" s="410" t="s">
        <v>327</v>
      </c>
      <c r="C239" s="411">
        <v>54000</v>
      </c>
      <c r="D239" s="411">
        <v>56736</v>
      </c>
      <c r="E239" s="411">
        <v>59616</v>
      </c>
      <c r="F239" s="411">
        <v>62580</v>
      </c>
      <c r="G239" s="411">
        <v>65736</v>
      </c>
    </row>
    <row r="240" spans="1:8" ht="15" customHeight="1">
      <c r="A240" s="409" t="s">
        <v>543</v>
      </c>
      <c r="B240" s="410" t="s">
        <v>145</v>
      </c>
      <c r="C240" s="411">
        <v>68052</v>
      </c>
      <c r="D240" s="411">
        <v>71412</v>
      </c>
      <c r="E240" s="411">
        <v>75060</v>
      </c>
      <c r="F240" s="411">
        <v>78816</v>
      </c>
      <c r="G240" s="411">
        <v>82800</v>
      </c>
    </row>
    <row r="241" spans="1:7" ht="15" customHeight="1">
      <c r="A241" s="409" t="s">
        <v>544</v>
      </c>
      <c r="B241" s="410" t="s">
        <v>115</v>
      </c>
      <c r="C241" s="411">
        <v>74052</v>
      </c>
      <c r="D241" s="411">
        <v>77808</v>
      </c>
      <c r="E241" s="411">
        <v>81708</v>
      </c>
      <c r="F241" s="411">
        <v>85824</v>
      </c>
      <c r="G241" s="411">
        <v>90180</v>
      </c>
    </row>
    <row r="242" spans="1:7" ht="15" customHeight="1">
      <c r="A242" s="409" t="s">
        <v>545</v>
      </c>
      <c r="B242" s="410" t="s">
        <v>303</v>
      </c>
      <c r="C242" s="411">
        <v>56496</v>
      </c>
      <c r="D242" s="411">
        <v>59352</v>
      </c>
      <c r="E242" s="411">
        <v>62328</v>
      </c>
      <c r="F242" s="411">
        <v>65472</v>
      </c>
      <c r="G242" s="411">
        <v>68796</v>
      </c>
    </row>
    <row r="243" spans="1:7" ht="15" customHeight="1">
      <c r="A243" s="409" t="s">
        <v>546</v>
      </c>
      <c r="B243" s="410" t="s">
        <v>301</v>
      </c>
      <c r="C243" s="411">
        <v>51300</v>
      </c>
      <c r="D243" s="411">
        <v>53880</v>
      </c>
      <c r="E243" s="411">
        <v>56616</v>
      </c>
      <c r="F243" s="411">
        <v>59436</v>
      </c>
      <c r="G243" s="411">
        <v>62436</v>
      </c>
    </row>
    <row r="244" spans="1:7" ht="15" customHeight="1">
      <c r="A244" s="409" t="s">
        <v>547</v>
      </c>
      <c r="B244" s="410" t="s">
        <v>292</v>
      </c>
      <c r="C244" s="411">
        <v>61704</v>
      </c>
      <c r="D244" s="411">
        <v>64824</v>
      </c>
      <c r="E244" s="411">
        <v>68124</v>
      </c>
      <c r="F244" s="411">
        <v>71520</v>
      </c>
      <c r="G244" s="411">
        <v>75120</v>
      </c>
    </row>
    <row r="245" spans="1:7" ht="15" customHeight="1">
      <c r="A245" s="409" t="s">
        <v>548</v>
      </c>
      <c r="B245" s="410" t="s">
        <v>345</v>
      </c>
      <c r="C245" s="411">
        <v>58980</v>
      </c>
      <c r="D245" s="411">
        <v>61944</v>
      </c>
      <c r="E245" s="411">
        <v>65088</v>
      </c>
      <c r="F245" s="411">
        <v>68340</v>
      </c>
      <c r="G245" s="411">
        <v>71820</v>
      </c>
    </row>
    <row r="246" spans="1:7" ht="15" customHeight="1">
      <c r="A246" s="409" t="s">
        <v>549</v>
      </c>
      <c r="B246" s="410" t="s">
        <v>145</v>
      </c>
      <c r="C246" s="411">
        <v>68052</v>
      </c>
      <c r="D246" s="411">
        <v>71412</v>
      </c>
      <c r="E246" s="411">
        <v>75060</v>
      </c>
      <c r="F246" s="411">
        <v>78816</v>
      </c>
      <c r="G246" s="411">
        <v>82800</v>
      </c>
    </row>
    <row r="247" spans="1:7" ht="15" customHeight="1">
      <c r="A247" s="409" t="s">
        <v>550</v>
      </c>
      <c r="B247" s="410" t="s">
        <v>115</v>
      </c>
      <c r="C247" s="411">
        <v>74052</v>
      </c>
      <c r="D247" s="411">
        <v>77808</v>
      </c>
      <c r="E247" s="411">
        <v>81708</v>
      </c>
      <c r="F247" s="411">
        <v>85824</v>
      </c>
      <c r="G247" s="411">
        <v>90180</v>
      </c>
    </row>
    <row r="248" spans="1:7" ht="15" customHeight="1">
      <c r="A248" s="409" t="s">
        <v>551</v>
      </c>
      <c r="B248" s="410" t="s">
        <v>117</v>
      </c>
      <c r="C248" s="411">
        <v>77616</v>
      </c>
      <c r="D248" s="411">
        <v>81528</v>
      </c>
      <c r="E248" s="411">
        <v>85632</v>
      </c>
      <c r="F248" s="411">
        <v>89964</v>
      </c>
      <c r="G248" s="411">
        <v>94500</v>
      </c>
    </row>
    <row r="249" spans="1:7" ht="15" customHeight="1">
      <c r="A249" s="409" t="s">
        <v>552</v>
      </c>
      <c r="B249" s="410" t="s">
        <v>345</v>
      </c>
      <c r="C249" s="411">
        <v>58980</v>
      </c>
      <c r="D249" s="411">
        <v>61944</v>
      </c>
      <c r="E249" s="411">
        <v>65088</v>
      </c>
      <c r="F249" s="411">
        <v>68340</v>
      </c>
      <c r="G249" s="411">
        <v>71820</v>
      </c>
    </row>
    <row r="250" spans="1:7" ht="15" customHeight="1">
      <c r="A250" s="409" t="s">
        <v>553</v>
      </c>
      <c r="B250" s="410" t="s">
        <v>301</v>
      </c>
      <c r="C250" s="411">
        <v>51300</v>
      </c>
      <c r="D250" s="411">
        <v>53880</v>
      </c>
      <c r="E250" s="411">
        <v>56616</v>
      </c>
      <c r="F250" s="411">
        <v>59436</v>
      </c>
      <c r="G250" s="411">
        <v>62436</v>
      </c>
    </row>
    <row r="251" spans="1:7" ht="15" customHeight="1">
      <c r="A251" s="409" t="s">
        <v>554</v>
      </c>
      <c r="B251" s="410" t="s">
        <v>152</v>
      </c>
      <c r="C251" s="411">
        <v>71076</v>
      </c>
      <c r="D251" s="411">
        <v>74640</v>
      </c>
      <c r="E251" s="411">
        <v>78444</v>
      </c>
      <c r="F251" s="411">
        <v>82344</v>
      </c>
      <c r="G251" s="411">
        <v>86532</v>
      </c>
    </row>
    <row r="252" spans="1:7" ht="15" customHeight="1">
      <c r="A252" s="409" t="s">
        <v>555</v>
      </c>
      <c r="B252" s="410" t="s">
        <v>111</v>
      </c>
      <c r="C252" s="411">
        <v>65400</v>
      </c>
      <c r="D252" s="411">
        <v>68676</v>
      </c>
      <c r="E252" s="411">
        <v>72168</v>
      </c>
      <c r="F252" s="411">
        <v>75804</v>
      </c>
      <c r="G252" s="411">
        <v>79608</v>
      </c>
    </row>
    <row r="253" spans="1:7" ht="15" customHeight="1">
      <c r="A253" s="409" t="s">
        <v>556</v>
      </c>
      <c r="B253" s="410" t="s">
        <v>345</v>
      </c>
      <c r="C253" s="411">
        <v>58980</v>
      </c>
      <c r="D253" s="411">
        <v>61944</v>
      </c>
      <c r="E253" s="411">
        <v>65088</v>
      </c>
      <c r="F253" s="411">
        <v>68340</v>
      </c>
      <c r="G253" s="411">
        <v>71820</v>
      </c>
    </row>
    <row r="254" spans="1:7" ht="15" customHeight="1">
      <c r="A254" s="409" t="s">
        <v>557</v>
      </c>
      <c r="B254" s="410" t="s">
        <v>345</v>
      </c>
      <c r="C254" s="411">
        <v>58980</v>
      </c>
      <c r="D254" s="411">
        <v>61944</v>
      </c>
      <c r="E254" s="411">
        <v>65088</v>
      </c>
      <c r="F254" s="411">
        <v>68340</v>
      </c>
      <c r="G254" s="411">
        <v>71820</v>
      </c>
    </row>
    <row r="255" spans="1:7" ht="15" customHeight="1">
      <c r="A255" s="409" t="s">
        <v>558</v>
      </c>
      <c r="B255" s="410" t="s">
        <v>115</v>
      </c>
      <c r="C255" s="411">
        <v>74052</v>
      </c>
      <c r="D255" s="411">
        <v>77808</v>
      </c>
      <c r="E255" s="411">
        <v>81708</v>
      </c>
      <c r="F255" s="411">
        <v>85824</v>
      </c>
      <c r="G255" s="411">
        <v>90180</v>
      </c>
    </row>
    <row r="256" spans="1:7" ht="15" customHeight="1">
      <c r="A256" s="409" t="s">
        <v>559</v>
      </c>
      <c r="B256" s="410" t="s">
        <v>145</v>
      </c>
      <c r="C256" s="411">
        <v>68052</v>
      </c>
      <c r="D256" s="411">
        <v>71412</v>
      </c>
      <c r="E256" s="411">
        <v>75060</v>
      </c>
      <c r="F256" s="411">
        <v>78816</v>
      </c>
      <c r="G256" s="411">
        <v>82800</v>
      </c>
    </row>
    <row r="257" spans="1:7" ht="15" customHeight="1">
      <c r="A257" s="409" t="s">
        <v>560</v>
      </c>
      <c r="B257" s="410" t="s">
        <v>292</v>
      </c>
      <c r="C257" s="411">
        <v>61704</v>
      </c>
      <c r="D257" s="411">
        <v>64824</v>
      </c>
      <c r="E257" s="411">
        <v>68124</v>
      </c>
      <c r="F257" s="411">
        <v>71520</v>
      </c>
      <c r="G257" s="411">
        <v>75120</v>
      </c>
    </row>
    <row r="258" spans="1:7" ht="15" customHeight="1">
      <c r="A258" s="409" t="s">
        <v>561</v>
      </c>
      <c r="B258" s="410" t="s">
        <v>115</v>
      </c>
      <c r="C258" s="411">
        <v>74052</v>
      </c>
      <c r="D258" s="411">
        <v>77808</v>
      </c>
      <c r="E258" s="411">
        <v>81708</v>
      </c>
      <c r="F258" s="411">
        <v>85824</v>
      </c>
      <c r="G258" s="411">
        <v>90180</v>
      </c>
    </row>
    <row r="259" spans="1:7" ht="15" customHeight="1">
      <c r="A259" s="409" t="s">
        <v>562</v>
      </c>
      <c r="B259" s="410" t="s">
        <v>145</v>
      </c>
      <c r="C259" s="411">
        <v>68052</v>
      </c>
      <c r="D259" s="411">
        <v>71412</v>
      </c>
      <c r="E259" s="411">
        <v>75060</v>
      </c>
      <c r="F259" s="411">
        <v>78816</v>
      </c>
      <c r="G259" s="411">
        <v>82800</v>
      </c>
    </row>
    <row r="260" spans="1:7">
      <c r="A260" s="409" t="s">
        <v>563</v>
      </c>
      <c r="B260" s="410" t="s">
        <v>327</v>
      </c>
      <c r="C260" s="411">
        <v>54000</v>
      </c>
      <c r="D260" s="411">
        <v>56736</v>
      </c>
      <c r="E260" s="411">
        <v>59616</v>
      </c>
      <c r="F260" s="411">
        <v>62580</v>
      </c>
      <c r="G260" s="411">
        <v>65736</v>
      </c>
    </row>
    <row r="261" spans="1:7">
      <c r="A261" s="409" t="s">
        <v>564</v>
      </c>
      <c r="B261" s="410" t="s">
        <v>292</v>
      </c>
      <c r="C261" s="411">
        <v>61704</v>
      </c>
      <c r="D261" s="411">
        <v>64824</v>
      </c>
      <c r="E261" s="411">
        <v>68124</v>
      </c>
      <c r="F261" s="411">
        <v>71520</v>
      </c>
      <c r="G261" s="411">
        <v>75120</v>
      </c>
    </row>
    <row r="262" spans="1:7">
      <c r="A262" s="409" t="s">
        <v>565</v>
      </c>
      <c r="B262" s="410" t="s">
        <v>297</v>
      </c>
      <c r="C262" s="411">
        <v>46800</v>
      </c>
      <c r="D262" s="411">
        <v>49164</v>
      </c>
      <c r="E262" s="411">
        <v>51636</v>
      </c>
      <c r="F262" s="411">
        <v>54216</v>
      </c>
      <c r="G262" s="411">
        <v>56976</v>
      </c>
    </row>
    <row r="263" spans="1:7">
      <c r="A263" s="409" t="s">
        <v>566</v>
      </c>
      <c r="B263" s="410" t="s">
        <v>323</v>
      </c>
      <c r="C263" s="411">
        <v>48924</v>
      </c>
      <c r="D263" s="411">
        <v>51444</v>
      </c>
      <c r="E263" s="411">
        <v>53988</v>
      </c>
      <c r="F263" s="411">
        <v>56712</v>
      </c>
      <c r="G263" s="411">
        <v>59580</v>
      </c>
    </row>
    <row r="264" spans="1:7">
      <c r="A264" s="409" t="s">
        <v>567</v>
      </c>
      <c r="B264" s="410" t="s">
        <v>107</v>
      </c>
      <c r="C264" s="411">
        <v>100680</v>
      </c>
      <c r="D264" s="411">
        <v>105720</v>
      </c>
      <c r="E264" s="411">
        <v>111084</v>
      </c>
      <c r="F264" s="411">
        <v>116652</v>
      </c>
      <c r="G264" s="411">
        <v>122568</v>
      </c>
    </row>
    <row r="265" spans="1:7">
      <c r="A265" s="409" t="s">
        <v>568</v>
      </c>
      <c r="B265" s="410" t="s">
        <v>301</v>
      </c>
      <c r="C265" s="411">
        <v>51300</v>
      </c>
      <c r="D265" s="411">
        <v>53880</v>
      </c>
      <c r="E265" s="411">
        <v>56616</v>
      </c>
      <c r="F265" s="411">
        <v>59436</v>
      </c>
      <c r="G265" s="411">
        <v>62436</v>
      </c>
    </row>
    <row r="266" spans="1:7">
      <c r="A266" s="409" t="s">
        <v>569</v>
      </c>
      <c r="B266" s="410" t="s">
        <v>145</v>
      </c>
      <c r="C266" s="411">
        <v>68052</v>
      </c>
      <c r="D266" s="411">
        <v>71412</v>
      </c>
      <c r="E266" s="411">
        <v>75060</v>
      </c>
      <c r="F266" s="411">
        <v>78816</v>
      </c>
      <c r="G266" s="411">
        <v>82800</v>
      </c>
    </row>
    <row r="267" spans="1:7">
      <c r="A267" s="409" t="s">
        <v>570</v>
      </c>
      <c r="B267" s="410" t="s">
        <v>152</v>
      </c>
      <c r="C267" s="411">
        <v>71076</v>
      </c>
      <c r="D267" s="411">
        <v>74640</v>
      </c>
      <c r="E267" s="411">
        <v>78444</v>
      </c>
      <c r="F267" s="411">
        <v>82344</v>
      </c>
      <c r="G267" s="411">
        <v>86532</v>
      </c>
    </row>
    <row r="268" spans="1:7">
      <c r="A268" s="409" t="s">
        <v>571</v>
      </c>
      <c r="B268" s="410" t="s">
        <v>292</v>
      </c>
      <c r="C268" s="411">
        <v>61704</v>
      </c>
      <c r="D268" s="411">
        <v>64824</v>
      </c>
      <c r="E268" s="411">
        <v>68124</v>
      </c>
      <c r="F268" s="411">
        <v>71520</v>
      </c>
      <c r="G268" s="411">
        <v>75120</v>
      </c>
    </row>
    <row r="269" spans="1:7">
      <c r="A269" s="409" t="s">
        <v>572</v>
      </c>
      <c r="B269" s="410" t="s">
        <v>292</v>
      </c>
      <c r="C269" s="411">
        <v>61704</v>
      </c>
      <c r="D269" s="411">
        <v>64824</v>
      </c>
      <c r="E269" s="411">
        <v>68124</v>
      </c>
      <c r="F269" s="411">
        <v>71520</v>
      </c>
      <c r="G269" s="411">
        <v>75120</v>
      </c>
    </row>
    <row r="270" spans="1:7">
      <c r="A270" s="409" t="s">
        <v>573</v>
      </c>
      <c r="B270" s="410" t="s">
        <v>301</v>
      </c>
      <c r="C270" s="411">
        <v>51300</v>
      </c>
      <c r="D270" s="411">
        <v>53880</v>
      </c>
      <c r="E270" s="411">
        <v>56616</v>
      </c>
      <c r="F270" s="411">
        <v>59436</v>
      </c>
      <c r="G270" s="411">
        <v>62436</v>
      </c>
    </row>
    <row r="271" spans="1:7">
      <c r="A271" s="409" t="s">
        <v>574</v>
      </c>
      <c r="B271" s="410" t="s">
        <v>145</v>
      </c>
      <c r="C271" s="411">
        <v>68052</v>
      </c>
      <c r="D271" s="411">
        <v>71412</v>
      </c>
      <c r="E271" s="411">
        <v>75060</v>
      </c>
      <c r="F271" s="411">
        <v>78816</v>
      </c>
      <c r="G271" s="411">
        <v>82800</v>
      </c>
    </row>
    <row r="272" spans="1:7">
      <c r="A272" s="409" t="s">
        <v>575</v>
      </c>
      <c r="B272" s="410" t="s">
        <v>303</v>
      </c>
      <c r="C272" s="411">
        <v>56496</v>
      </c>
      <c r="D272" s="411">
        <v>59352</v>
      </c>
      <c r="E272" s="411">
        <v>62328</v>
      </c>
      <c r="F272" s="411">
        <v>65472</v>
      </c>
      <c r="G272" s="411">
        <v>68796</v>
      </c>
    </row>
    <row r="273" spans="1:7">
      <c r="A273" s="409" t="s">
        <v>576</v>
      </c>
      <c r="B273" s="410" t="s">
        <v>301</v>
      </c>
      <c r="C273" s="411">
        <v>51300</v>
      </c>
      <c r="D273" s="411">
        <v>53880</v>
      </c>
      <c r="E273" s="411">
        <v>56616</v>
      </c>
      <c r="F273" s="411">
        <v>59436</v>
      </c>
      <c r="G273" s="411">
        <v>62436</v>
      </c>
    </row>
    <row r="274" spans="1:7">
      <c r="A274" s="409" t="s">
        <v>577</v>
      </c>
      <c r="B274" s="410" t="s">
        <v>115</v>
      </c>
      <c r="C274" s="411">
        <v>74052</v>
      </c>
      <c r="D274" s="411">
        <v>77808</v>
      </c>
      <c r="E274" s="411">
        <v>81708</v>
      </c>
      <c r="F274" s="411">
        <v>85824</v>
      </c>
      <c r="G274" s="411">
        <v>90180</v>
      </c>
    </row>
    <row r="275" spans="1:7">
      <c r="A275" s="409" t="s">
        <v>578</v>
      </c>
      <c r="B275" s="410" t="s">
        <v>145</v>
      </c>
      <c r="C275" s="411">
        <v>68052</v>
      </c>
      <c r="D275" s="411">
        <v>71412</v>
      </c>
      <c r="E275" s="411">
        <v>75060</v>
      </c>
      <c r="F275" s="411">
        <v>78816</v>
      </c>
      <c r="G275" s="411">
        <v>82800</v>
      </c>
    </row>
    <row r="276" spans="1:7">
      <c r="A276" s="409" t="s">
        <v>579</v>
      </c>
      <c r="B276" s="410" t="s">
        <v>115</v>
      </c>
      <c r="C276" s="411">
        <v>74052</v>
      </c>
      <c r="D276" s="411">
        <v>77808</v>
      </c>
      <c r="E276" s="411">
        <v>81708</v>
      </c>
      <c r="F276" s="411">
        <v>85824</v>
      </c>
      <c r="G276" s="411">
        <v>90180</v>
      </c>
    </row>
    <row r="277" spans="1:7">
      <c r="A277" s="409" t="s">
        <v>580</v>
      </c>
      <c r="B277" s="410" t="s">
        <v>115</v>
      </c>
      <c r="C277" s="411">
        <v>74052</v>
      </c>
      <c r="D277" s="411">
        <v>77808</v>
      </c>
      <c r="E277" s="411">
        <v>81708</v>
      </c>
      <c r="F277" s="411">
        <v>85824</v>
      </c>
      <c r="G277" s="411">
        <v>90180</v>
      </c>
    </row>
    <row r="278" spans="1:7">
      <c r="A278" s="409" t="s">
        <v>581</v>
      </c>
      <c r="B278" s="410" t="s">
        <v>152</v>
      </c>
      <c r="C278" s="411">
        <v>71076</v>
      </c>
      <c r="D278" s="411">
        <v>74640</v>
      </c>
      <c r="E278" s="411">
        <v>78444</v>
      </c>
      <c r="F278" s="411">
        <v>82344</v>
      </c>
      <c r="G278" s="411">
        <v>86532</v>
      </c>
    </row>
    <row r="279" spans="1:7">
      <c r="A279" s="409" t="s">
        <v>582</v>
      </c>
      <c r="B279" s="410" t="s">
        <v>111</v>
      </c>
      <c r="C279" s="411">
        <v>65400</v>
      </c>
      <c r="D279" s="411">
        <v>68676</v>
      </c>
      <c r="E279" s="411">
        <v>72168</v>
      </c>
      <c r="F279" s="411">
        <v>75804</v>
      </c>
      <c r="G279" s="411">
        <v>79608</v>
      </c>
    </row>
    <row r="280" spans="1:7">
      <c r="A280" s="409" t="s">
        <v>583</v>
      </c>
      <c r="B280" s="410" t="s">
        <v>424</v>
      </c>
      <c r="C280" s="411">
        <v>44532</v>
      </c>
      <c r="D280" s="411">
        <v>46764</v>
      </c>
      <c r="E280" s="411">
        <v>49140</v>
      </c>
      <c r="F280" s="411">
        <v>51624</v>
      </c>
      <c r="G280" s="411">
        <v>54180</v>
      </c>
    </row>
    <row r="281" spans="1:7">
      <c r="A281" s="409" t="s">
        <v>584</v>
      </c>
      <c r="B281" s="410" t="s">
        <v>109</v>
      </c>
      <c r="C281" s="411">
        <v>85896</v>
      </c>
      <c r="D281" s="411">
        <v>90252</v>
      </c>
      <c r="E281" s="411">
        <v>94776</v>
      </c>
      <c r="F281" s="411">
        <v>99540</v>
      </c>
      <c r="G281" s="411">
        <v>104544</v>
      </c>
    </row>
    <row r="282" spans="1:7">
      <c r="A282" s="409" t="s">
        <v>585</v>
      </c>
      <c r="B282" s="410" t="s">
        <v>145</v>
      </c>
      <c r="C282" s="411">
        <v>68052</v>
      </c>
      <c r="D282" s="411">
        <v>71412</v>
      </c>
      <c r="E282" s="411">
        <v>75060</v>
      </c>
      <c r="F282" s="411">
        <v>78816</v>
      </c>
      <c r="G282" s="411">
        <v>82800</v>
      </c>
    </row>
  </sheetData>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499984740745262"/>
  </sheetPr>
  <dimension ref="A1:H120"/>
  <sheetViews>
    <sheetView workbookViewId="0">
      <selection activeCell="A282" sqref="A282"/>
    </sheetView>
  </sheetViews>
  <sheetFormatPr defaultRowHeight="12.75"/>
  <cols>
    <col min="1" max="1" width="44" customWidth="1"/>
  </cols>
  <sheetData>
    <row r="1" spans="1:8" s="131" customFormat="1">
      <c r="A1" s="132"/>
      <c r="D1" s="132" t="s">
        <v>586</v>
      </c>
    </row>
    <row r="2" spans="1:8" ht="12.95" customHeight="1">
      <c r="A2" s="145" t="s">
        <v>587</v>
      </c>
      <c r="B2" s="100">
        <v>25</v>
      </c>
    </row>
    <row r="3" spans="1:8" ht="12.95" customHeight="1">
      <c r="A3" s="145" t="s">
        <v>588</v>
      </c>
      <c r="B3" s="100">
        <v>14</v>
      </c>
    </row>
    <row r="4" spans="1:8" ht="12.95" customHeight="1">
      <c r="A4" s="166" t="s">
        <v>589</v>
      </c>
      <c r="B4" s="100">
        <v>14</v>
      </c>
    </row>
    <row r="5" spans="1:8" ht="12.95" customHeight="1">
      <c r="A5" s="166" t="s">
        <v>590</v>
      </c>
      <c r="B5" s="100">
        <v>14</v>
      </c>
      <c r="E5" s="152"/>
      <c r="F5" s="152"/>
      <c r="G5" s="152"/>
      <c r="H5" s="152"/>
    </row>
    <row r="6" spans="1:8" ht="12.95" customHeight="1">
      <c r="A6" s="166" t="s">
        <v>591</v>
      </c>
      <c r="B6" s="100">
        <v>24</v>
      </c>
      <c r="E6" s="152"/>
      <c r="F6" s="152"/>
      <c r="G6" s="152"/>
      <c r="H6" s="152"/>
    </row>
    <row r="7" spans="1:8" ht="12.95" customHeight="1">
      <c r="A7" s="145" t="s">
        <v>592</v>
      </c>
      <c r="B7" s="100">
        <v>14</v>
      </c>
    </row>
    <row r="8" spans="1:8" ht="12.95" customHeight="1">
      <c r="A8" s="145" t="s">
        <v>593</v>
      </c>
      <c r="B8" s="100">
        <v>35</v>
      </c>
    </row>
    <row r="9" spans="1:8" ht="12.95" customHeight="1">
      <c r="A9" s="145" t="s">
        <v>594</v>
      </c>
      <c r="B9" s="100">
        <v>24</v>
      </c>
    </row>
    <row r="10" spans="1:8" ht="12.95" customHeight="1">
      <c r="A10" s="145" t="s">
        <v>595</v>
      </c>
      <c r="B10" s="100">
        <v>14</v>
      </c>
    </row>
    <row r="11" spans="1:8" ht="12.95" customHeight="1">
      <c r="A11" s="145" t="s">
        <v>596</v>
      </c>
      <c r="B11" s="100">
        <v>14</v>
      </c>
    </row>
    <row r="12" spans="1:8" ht="12.95" customHeight="1">
      <c r="A12" s="145" t="s">
        <v>597</v>
      </c>
      <c r="B12" s="100">
        <v>17.54</v>
      </c>
    </row>
    <row r="13" spans="1:8" ht="12.95" customHeight="1">
      <c r="A13" s="145" t="s">
        <v>598</v>
      </c>
      <c r="B13" s="100">
        <v>14</v>
      </c>
    </row>
    <row r="14" spans="1:8" ht="12.95" customHeight="1">
      <c r="A14" s="145" t="s">
        <v>599</v>
      </c>
      <c r="B14" s="100">
        <v>14</v>
      </c>
    </row>
    <row r="15" spans="1:8" ht="12.95" customHeight="1">
      <c r="A15" s="145" t="s">
        <v>600</v>
      </c>
      <c r="B15" s="100">
        <v>24</v>
      </c>
    </row>
    <row r="16" spans="1:8" ht="12.95" customHeight="1">
      <c r="A16" s="145" t="s">
        <v>601</v>
      </c>
      <c r="B16" s="100">
        <v>17</v>
      </c>
    </row>
    <row r="17" spans="1:2" ht="12.95" customHeight="1">
      <c r="A17" s="145" t="s">
        <v>602</v>
      </c>
      <c r="B17" s="100">
        <v>14</v>
      </c>
    </row>
    <row r="18" spans="1:2" ht="12.95" customHeight="1">
      <c r="A18" s="145" t="s">
        <v>603</v>
      </c>
      <c r="B18" s="100">
        <v>18</v>
      </c>
    </row>
    <row r="19" spans="1:2" ht="12.95" customHeight="1">
      <c r="A19" s="145" t="s">
        <v>604</v>
      </c>
      <c r="B19" s="100">
        <v>45</v>
      </c>
    </row>
    <row r="20" spans="1:2" ht="12.95" customHeight="1">
      <c r="A20" s="145" t="s">
        <v>605</v>
      </c>
      <c r="B20" s="100">
        <v>25</v>
      </c>
    </row>
    <row r="21" spans="1:2" ht="12.95" customHeight="1">
      <c r="A21" s="145" t="s">
        <v>606</v>
      </c>
      <c r="B21" s="100">
        <v>14</v>
      </c>
    </row>
    <row r="22" spans="1:2" ht="12.95" customHeight="1">
      <c r="A22" s="145" t="s">
        <v>607</v>
      </c>
      <c r="B22" s="100">
        <v>14</v>
      </c>
    </row>
    <row r="23" spans="1:2" ht="12.95" customHeight="1">
      <c r="A23" s="145" t="s">
        <v>608</v>
      </c>
      <c r="B23" s="100">
        <v>14</v>
      </c>
    </row>
    <row r="24" spans="1:2" ht="12.95" customHeight="1">
      <c r="A24" s="145" t="s">
        <v>609</v>
      </c>
      <c r="B24" s="100">
        <v>14</v>
      </c>
    </row>
    <row r="25" spans="1:2" ht="12.95" customHeight="1">
      <c r="A25" s="145" t="s">
        <v>610</v>
      </c>
      <c r="B25" s="100">
        <v>33</v>
      </c>
    </row>
    <row r="26" spans="1:2" ht="12.95" customHeight="1">
      <c r="A26" s="145" t="s">
        <v>611</v>
      </c>
      <c r="B26" s="100">
        <v>18</v>
      </c>
    </row>
    <row r="27" spans="1:2" ht="12.95" customHeight="1">
      <c r="A27" s="145" t="s">
        <v>612</v>
      </c>
      <c r="B27" s="100">
        <v>18</v>
      </c>
    </row>
    <row r="28" spans="1:2" ht="12.95" customHeight="1">
      <c r="A28" s="145" t="s">
        <v>613</v>
      </c>
      <c r="B28" s="100">
        <v>18</v>
      </c>
    </row>
    <row r="29" spans="1:2" ht="12.95" customHeight="1">
      <c r="A29" s="145" t="s">
        <v>614</v>
      </c>
      <c r="B29" s="100">
        <v>18.25</v>
      </c>
    </row>
    <row r="30" spans="1:2" ht="12.95" customHeight="1">
      <c r="A30" s="145" t="s">
        <v>615</v>
      </c>
      <c r="B30" s="100">
        <v>14</v>
      </c>
    </row>
    <row r="31" spans="1:2" ht="12.95" customHeight="1">
      <c r="A31" s="145" t="s">
        <v>616</v>
      </c>
      <c r="B31" s="100">
        <v>14</v>
      </c>
    </row>
    <row r="32" spans="1:2" ht="12.95" customHeight="1">
      <c r="A32" s="145" t="s">
        <v>617</v>
      </c>
      <c r="B32" s="100">
        <v>35</v>
      </c>
    </row>
    <row r="33" spans="1:2" ht="12.95" customHeight="1">
      <c r="A33" s="145" t="s">
        <v>618</v>
      </c>
      <c r="B33" s="100">
        <v>40</v>
      </c>
    </row>
    <row r="34" spans="1:2" ht="12.95" customHeight="1">
      <c r="A34" s="145" t="s">
        <v>619</v>
      </c>
      <c r="B34" s="100">
        <v>14</v>
      </c>
    </row>
    <row r="35" spans="1:2" ht="12.95" customHeight="1">
      <c r="A35" s="145" t="s">
        <v>620</v>
      </c>
      <c r="B35" s="100">
        <v>25</v>
      </c>
    </row>
    <row r="36" spans="1:2" ht="12.95" customHeight="1">
      <c r="A36" s="145" t="s">
        <v>621</v>
      </c>
      <c r="B36" s="100">
        <v>35</v>
      </c>
    </row>
    <row r="37" spans="1:2" ht="12.95" customHeight="1">
      <c r="A37" s="145" t="s">
        <v>622</v>
      </c>
      <c r="B37" s="100">
        <v>20</v>
      </c>
    </row>
    <row r="38" spans="1:2" ht="12.95" customHeight="1">
      <c r="A38" s="145" t="s">
        <v>623</v>
      </c>
      <c r="B38" s="100">
        <v>14</v>
      </c>
    </row>
    <row r="39" spans="1:2" ht="12.95" customHeight="1">
      <c r="A39" s="145" t="s">
        <v>624</v>
      </c>
      <c r="B39" s="100">
        <v>42.05</v>
      </c>
    </row>
    <row r="40" spans="1:2" ht="12.95" customHeight="1">
      <c r="A40" s="145" t="s">
        <v>625</v>
      </c>
      <c r="B40" s="100">
        <v>50</v>
      </c>
    </row>
    <row r="41" spans="1:2" ht="12.95" customHeight="1">
      <c r="A41" s="145" t="s">
        <v>626</v>
      </c>
      <c r="B41" s="100">
        <v>14</v>
      </c>
    </row>
    <row r="42" spans="1:2" ht="12.95" customHeight="1">
      <c r="A42" s="145" t="s">
        <v>627</v>
      </c>
      <c r="B42" s="100">
        <v>14</v>
      </c>
    </row>
    <row r="43" spans="1:2" ht="12.95" customHeight="1">
      <c r="A43" s="145" t="s">
        <v>628</v>
      </c>
      <c r="B43" s="100">
        <v>14</v>
      </c>
    </row>
    <row r="44" spans="1:2" ht="12.95" customHeight="1">
      <c r="A44" s="145" t="s">
        <v>629</v>
      </c>
      <c r="B44" s="100">
        <v>14</v>
      </c>
    </row>
    <row r="45" spans="1:2" ht="12.95" customHeight="1">
      <c r="A45" s="145" t="s">
        <v>630</v>
      </c>
      <c r="B45" s="100">
        <v>14</v>
      </c>
    </row>
    <row r="46" spans="1:2" ht="12.95" customHeight="1">
      <c r="A46" s="145" t="s">
        <v>631</v>
      </c>
      <c r="B46" s="100">
        <v>14</v>
      </c>
    </row>
    <row r="47" spans="1:2" ht="12.95" customHeight="1">
      <c r="A47" s="145" t="s">
        <v>632</v>
      </c>
      <c r="B47" s="100">
        <v>14</v>
      </c>
    </row>
    <row r="48" spans="1:2" ht="12.95" customHeight="1">
      <c r="A48" s="145" t="s">
        <v>633</v>
      </c>
      <c r="B48" s="100">
        <v>14</v>
      </c>
    </row>
    <row r="49" spans="1:2" ht="12.95" customHeight="1">
      <c r="A49" s="145" t="s">
        <v>634</v>
      </c>
      <c r="B49" s="100">
        <v>25</v>
      </c>
    </row>
    <row r="50" spans="1:2" ht="12.95" customHeight="1">
      <c r="A50" s="145" t="s">
        <v>635</v>
      </c>
      <c r="B50" s="100">
        <v>30</v>
      </c>
    </row>
    <row r="51" spans="1:2" ht="12.95" customHeight="1">
      <c r="A51" s="145" t="s">
        <v>636</v>
      </c>
      <c r="B51" s="100">
        <v>35</v>
      </c>
    </row>
    <row r="52" spans="1:2" ht="12.95" customHeight="1">
      <c r="A52" s="145" t="s">
        <v>637</v>
      </c>
      <c r="B52" s="100">
        <v>40</v>
      </c>
    </row>
    <row r="53" spans="1:2" ht="12.95" customHeight="1">
      <c r="A53" s="145" t="s">
        <v>638</v>
      </c>
      <c r="B53" s="100">
        <v>14</v>
      </c>
    </row>
    <row r="54" spans="1:2" ht="12.95" customHeight="1">
      <c r="A54" s="145" t="s">
        <v>639</v>
      </c>
      <c r="B54" s="100">
        <v>14</v>
      </c>
    </row>
    <row r="55" spans="1:2" ht="12.95" customHeight="1">
      <c r="A55" s="145" t="s">
        <v>640</v>
      </c>
      <c r="B55" s="100">
        <v>14</v>
      </c>
    </row>
    <row r="56" spans="1:2" ht="12.95" customHeight="1">
      <c r="A56" s="145" t="s">
        <v>641</v>
      </c>
      <c r="B56" s="100">
        <v>14</v>
      </c>
    </row>
    <row r="57" spans="1:2" ht="12.95" customHeight="1">
      <c r="A57" s="145" t="s">
        <v>642</v>
      </c>
      <c r="B57" s="100">
        <v>14</v>
      </c>
    </row>
    <row r="58" spans="1:2" ht="12.95" customHeight="1">
      <c r="A58" s="145" t="s">
        <v>643</v>
      </c>
      <c r="B58" s="100">
        <v>16</v>
      </c>
    </row>
    <row r="59" spans="1:2" ht="12.95" customHeight="1">
      <c r="A59" s="145" t="s">
        <v>644</v>
      </c>
      <c r="B59" s="100">
        <v>18</v>
      </c>
    </row>
    <row r="60" spans="1:2" ht="12.95" customHeight="1">
      <c r="A60" s="145" t="s">
        <v>645</v>
      </c>
      <c r="B60" s="100">
        <v>20</v>
      </c>
    </row>
    <row r="61" spans="1:2" ht="12.95" customHeight="1">
      <c r="A61" s="145" t="s">
        <v>646</v>
      </c>
      <c r="B61" s="100">
        <v>14</v>
      </c>
    </row>
    <row r="62" spans="1:2" ht="12.95" customHeight="1">
      <c r="A62" s="145" t="s">
        <v>647</v>
      </c>
      <c r="B62" s="100">
        <v>14</v>
      </c>
    </row>
    <row r="63" spans="1:2" ht="12.95" customHeight="1">
      <c r="A63" s="145" t="s">
        <v>648</v>
      </c>
      <c r="B63" s="100">
        <v>14</v>
      </c>
    </row>
    <row r="64" spans="1:2" ht="12.95" customHeight="1">
      <c r="A64" s="145" t="s">
        <v>649</v>
      </c>
      <c r="B64" s="100">
        <v>60</v>
      </c>
    </row>
    <row r="65" spans="1:2" ht="12.95" customHeight="1">
      <c r="A65" s="145" t="s">
        <v>650</v>
      </c>
      <c r="B65" s="100">
        <v>14</v>
      </c>
    </row>
    <row r="66" spans="1:2" ht="12.95" customHeight="1">
      <c r="A66" s="145" t="s">
        <v>651</v>
      </c>
      <c r="B66" s="100">
        <v>14</v>
      </c>
    </row>
    <row r="67" spans="1:2" ht="12.95" customHeight="1">
      <c r="A67" s="145" t="s">
        <v>652</v>
      </c>
      <c r="B67" s="100">
        <v>14</v>
      </c>
    </row>
    <row r="68" spans="1:2" ht="12.95" customHeight="1">
      <c r="A68" s="145" t="s">
        <v>653</v>
      </c>
      <c r="B68" s="100">
        <v>14</v>
      </c>
    </row>
    <row r="69" spans="1:2" ht="12.95" customHeight="1">
      <c r="A69" s="145" t="s">
        <v>654</v>
      </c>
      <c r="B69" s="100">
        <v>15</v>
      </c>
    </row>
    <row r="70" spans="1:2" ht="12.95" customHeight="1">
      <c r="A70" s="145" t="s">
        <v>655</v>
      </c>
      <c r="B70" s="100">
        <v>20.5</v>
      </c>
    </row>
    <row r="71" spans="1:2" ht="12.95" customHeight="1">
      <c r="A71" s="145" t="s">
        <v>656</v>
      </c>
      <c r="B71" s="100">
        <v>25</v>
      </c>
    </row>
    <row r="72" spans="1:2" ht="12.95" customHeight="1">
      <c r="A72" s="145" t="s">
        <v>657</v>
      </c>
      <c r="B72" s="100">
        <v>14</v>
      </c>
    </row>
    <row r="73" spans="1:2" ht="12.95" customHeight="1">
      <c r="A73" s="145" t="s">
        <v>658</v>
      </c>
      <c r="B73" s="100">
        <v>14</v>
      </c>
    </row>
    <row r="74" spans="1:2" ht="12.95" customHeight="1">
      <c r="A74" s="145" t="s">
        <v>659</v>
      </c>
      <c r="B74" s="100">
        <v>25</v>
      </c>
    </row>
    <row r="75" spans="1:2" ht="12.95" customHeight="1">
      <c r="A75" s="145" t="s">
        <v>660</v>
      </c>
      <c r="B75" s="100">
        <v>25</v>
      </c>
    </row>
    <row r="76" spans="1:2" ht="12.95" customHeight="1">
      <c r="A76" s="145" t="s">
        <v>661</v>
      </c>
      <c r="B76" s="100">
        <v>14</v>
      </c>
    </row>
    <row r="77" spans="1:2" ht="12.95" customHeight="1">
      <c r="A77" s="145" t="s">
        <v>662</v>
      </c>
      <c r="B77" s="100">
        <v>14</v>
      </c>
    </row>
    <row r="78" spans="1:2" ht="12.95" customHeight="1">
      <c r="A78" s="145" t="s">
        <v>663</v>
      </c>
      <c r="B78" s="100">
        <v>35</v>
      </c>
    </row>
    <row r="79" spans="1:2" ht="12.95" customHeight="1">
      <c r="A79" s="145" t="s">
        <v>664</v>
      </c>
      <c r="B79" s="100">
        <v>37</v>
      </c>
    </row>
    <row r="80" spans="1:2" ht="12.95" customHeight="1">
      <c r="A80" s="145" t="s">
        <v>665</v>
      </c>
      <c r="B80" s="100">
        <v>40</v>
      </c>
    </row>
    <row r="81" spans="1:2" ht="12.95" customHeight="1">
      <c r="A81" s="145" t="s">
        <v>666</v>
      </c>
      <c r="B81" s="100">
        <v>14</v>
      </c>
    </row>
    <row r="82" spans="1:2" ht="12.95" customHeight="1">
      <c r="A82" s="145" t="s">
        <v>667</v>
      </c>
      <c r="B82" s="100">
        <v>14.22</v>
      </c>
    </row>
    <row r="83" spans="1:2" ht="12.95" customHeight="1">
      <c r="A83" s="145" t="s">
        <v>668</v>
      </c>
      <c r="B83" s="100">
        <v>15.65</v>
      </c>
    </row>
    <row r="84" spans="1:2" ht="12.95" customHeight="1">
      <c r="A84" s="145" t="s">
        <v>669</v>
      </c>
      <c r="B84" s="100">
        <v>14</v>
      </c>
    </row>
    <row r="85" spans="1:2" ht="12.95" customHeight="1">
      <c r="A85" s="145" t="s">
        <v>670</v>
      </c>
      <c r="B85" s="100">
        <v>15</v>
      </c>
    </row>
    <row r="86" spans="1:2" ht="12.95" customHeight="1">
      <c r="A86" s="145" t="s">
        <v>671</v>
      </c>
      <c r="B86" s="100">
        <v>36</v>
      </c>
    </row>
    <row r="87" spans="1:2" ht="12.95" customHeight="1">
      <c r="A87" s="145" t="s">
        <v>672</v>
      </c>
      <c r="B87" s="100">
        <v>14</v>
      </c>
    </row>
    <row r="88" spans="1:2" ht="12.95" customHeight="1">
      <c r="A88" s="145" t="s">
        <v>673</v>
      </c>
      <c r="B88" s="100">
        <v>14</v>
      </c>
    </row>
    <row r="89" spans="1:2" ht="12.95" customHeight="1">
      <c r="A89" s="145" t="s">
        <v>674</v>
      </c>
      <c r="B89" s="100">
        <v>17</v>
      </c>
    </row>
    <row r="90" spans="1:2" ht="12.95" customHeight="1">
      <c r="A90" s="145" t="s">
        <v>675</v>
      </c>
      <c r="B90" s="100">
        <v>17</v>
      </c>
    </row>
    <row r="91" spans="1:2" ht="12.95" customHeight="1">
      <c r="A91" s="145" t="s">
        <v>676</v>
      </c>
      <c r="B91" s="100">
        <v>14</v>
      </c>
    </row>
    <row r="92" spans="1:2" ht="12.95" customHeight="1">
      <c r="A92" s="145" t="s">
        <v>677</v>
      </c>
      <c r="B92" s="100">
        <v>14</v>
      </c>
    </row>
    <row r="93" spans="1:2" ht="12.95" customHeight="1">
      <c r="A93" s="145" t="s">
        <v>678</v>
      </c>
      <c r="B93" s="100">
        <v>14</v>
      </c>
    </row>
    <row r="94" spans="1:2" ht="12.95" customHeight="1">
      <c r="A94" s="145" t="s">
        <v>679</v>
      </c>
      <c r="B94" s="100">
        <v>14</v>
      </c>
    </row>
    <row r="95" spans="1:2" ht="12.95" customHeight="1">
      <c r="A95" s="145" t="s">
        <v>680</v>
      </c>
      <c r="B95" s="100">
        <v>14</v>
      </c>
    </row>
    <row r="96" spans="1:2" ht="12.95" customHeight="1">
      <c r="A96" s="145" t="s">
        <v>681</v>
      </c>
      <c r="B96" s="100">
        <v>14</v>
      </c>
    </row>
    <row r="97" spans="1:2" ht="12.95" customHeight="1">
      <c r="A97" s="145" t="s">
        <v>682</v>
      </c>
      <c r="B97" s="100">
        <v>25</v>
      </c>
    </row>
    <row r="98" spans="1:2" ht="12.95" customHeight="1">
      <c r="A98" s="145" t="s">
        <v>683</v>
      </c>
      <c r="B98" s="100">
        <v>14</v>
      </c>
    </row>
    <row r="99" spans="1:2" ht="12.95" customHeight="1">
      <c r="A99" s="145" t="s">
        <v>684</v>
      </c>
      <c r="B99" s="100">
        <v>14</v>
      </c>
    </row>
    <row r="100" spans="1:2" ht="12.95" customHeight="1">
      <c r="A100" s="145" t="s">
        <v>685</v>
      </c>
      <c r="B100" s="100">
        <v>14</v>
      </c>
    </row>
    <row r="101" spans="1:2" ht="12.95" customHeight="1">
      <c r="A101" s="145" t="s">
        <v>686</v>
      </c>
      <c r="B101" s="100">
        <v>30</v>
      </c>
    </row>
    <row r="102" spans="1:2" ht="12.95" customHeight="1">
      <c r="A102" s="145" t="s">
        <v>687</v>
      </c>
      <c r="B102" s="100">
        <v>14</v>
      </c>
    </row>
    <row r="103" spans="1:2" ht="12.95" customHeight="1">
      <c r="A103" s="145" t="s">
        <v>688</v>
      </c>
      <c r="B103" s="100">
        <v>14</v>
      </c>
    </row>
    <row r="104" spans="1:2" ht="12.95" customHeight="1">
      <c r="A104" s="145" t="s">
        <v>689</v>
      </c>
      <c r="B104" s="100">
        <v>20</v>
      </c>
    </row>
    <row r="105" spans="1:2" ht="12.95" customHeight="1">
      <c r="A105" s="145" t="s">
        <v>690</v>
      </c>
      <c r="B105" s="100">
        <v>14</v>
      </c>
    </row>
    <row r="106" spans="1:2" ht="12.95" customHeight="1">
      <c r="A106" s="145" t="s">
        <v>691</v>
      </c>
      <c r="B106" s="100">
        <v>14</v>
      </c>
    </row>
    <row r="107" spans="1:2" ht="12.95" customHeight="1">
      <c r="A107" s="145" t="s">
        <v>692</v>
      </c>
      <c r="B107" s="100">
        <v>35</v>
      </c>
    </row>
    <row r="108" spans="1:2" ht="12.95" customHeight="1">
      <c r="A108" s="145" t="s">
        <v>693</v>
      </c>
      <c r="B108" s="100">
        <v>55</v>
      </c>
    </row>
    <row r="109" spans="1:2" ht="12.95" customHeight="1">
      <c r="A109" s="145" t="s">
        <v>694</v>
      </c>
      <c r="B109" s="100">
        <v>14</v>
      </c>
    </row>
    <row r="110" spans="1:2" ht="12.95" customHeight="1">
      <c r="A110" s="145" t="s">
        <v>695</v>
      </c>
      <c r="B110" s="100">
        <v>24</v>
      </c>
    </row>
    <row r="111" spans="1:2" ht="12.95" customHeight="1">
      <c r="A111" s="145" t="s">
        <v>696</v>
      </c>
      <c r="B111" s="100">
        <v>14</v>
      </c>
    </row>
    <row r="112" spans="1:2" ht="12.95" customHeight="1">
      <c r="A112" s="145" t="s">
        <v>697</v>
      </c>
      <c r="B112" s="100">
        <v>14</v>
      </c>
    </row>
    <row r="113" spans="1:2" ht="12.95" customHeight="1">
      <c r="A113" s="145" t="s">
        <v>698</v>
      </c>
      <c r="B113" s="100">
        <v>14</v>
      </c>
    </row>
    <row r="114" spans="1:2" ht="12.95" customHeight="1">
      <c r="A114" s="145" t="s">
        <v>699</v>
      </c>
      <c r="B114" s="100">
        <v>14</v>
      </c>
    </row>
    <row r="115" spans="1:2" ht="12.95" customHeight="1">
      <c r="A115" s="145" t="s">
        <v>700</v>
      </c>
      <c r="B115" s="100">
        <v>14</v>
      </c>
    </row>
    <row r="116" spans="1:2" ht="12.95" customHeight="1">
      <c r="A116" s="145" t="s">
        <v>701</v>
      </c>
      <c r="B116" s="100">
        <v>135</v>
      </c>
    </row>
    <row r="117" spans="1:2">
      <c r="A117" t="s">
        <v>702</v>
      </c>
      <c r="B117">
        <v>14</v>
      </c>
    </row>
    <row r="118" spans="1:2" s="148" customFormat="1"/>
    <row r="119" spans="1:2" s="148" customFormat="1">
      <c r="A119" s="148" t="s">
        <v>703</v>
      </c>
    </row>
    <row r="120" spans="1:2">
      <c r="A120" s="148"/>
    </row>
  </sheetData>
  <autoFilter ref="A1:B117" xr:uid="{00000000-0009-0000-0000-000005000000}"/>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499984740745262"/>
  </sheetPr>
  <dimension ref="A1:J15"/>
  <sheetViews>
    <sheetView workbookViewId="0">
      <selection activeCell="D14" sqref="D14"/>
    </sheetView>
  </sheetViews>
  <sheetFormatPr defaultColWidth="9.140625" defaultRowHeight="15.75"/>
  <cols>
    <col min="1" max="1" width="14" style="75" customWidth="1"/>
    <col min="2" max="2" width="9.28515625" style="84" customWidth="1"/>
    <col min="3" max="3" width="14.140625" style="75" customWidth="1"/>
    <col min="4" max="4" width="2.28515625" style="75" customWidth="1"/>
    <col min="5" max="16384" width="9.140625" style="75"/>
  </cols>
  <sheetData>
    <row r="1" spans="1:10">
      <c r="A1" s="72" t="s">
        <v>704</v>
      </c>
      <c r="B1" s="73" t="s">
        <v>705</v>
      </c>
      <c r="C1" s="167">
        <v>111474</v>
      </c>
      <c r="E1" s="75" t="s">
        <v>706</v>
      </c>
    </row>
    <row r="2" spans="1:10">
      <c r="A2" s="76" t="s">
        <v>707</v>
      </c>
      <c r="B2" s="146">
        <f>'RATE SHEET'!$B$5</f>
        <v>0.16919999999999999</v>
      </c>
      <c r="C2" s="74">
        <f>ROUND($B2*$C$1,0)</f>
        <v>18861</v>
      </c>
    </row>
    <row r="3" spans="1:10" ht="15.95" customHeight="1">
      <c r="A3" s="76" t="s">
        <v>708</v>
      </c>
      <c r="B3" s="146">
        <f>'RATE SHEET'!$B$8</f>
        <v>1.4500000000000001E-2</v>
      </c>
      <c r="C3" s="74">
        <f t="shared" ref="C3" si="0">ROUND($B3*$C$1,0)</f>
        <v>1616</v>
      </c>
      <c r="G3" s="152"/>
      <c r="H3" s="152"/>
      <c r="I3" s="152"/>
      <c r="J3" s="152"/>
    </row>
    <row r="4" spans="1:10" ht="15.95" customHeight="1">
      <c r="A4" s="76" t="s">
        <v>709</v>
      </c>
      <c r="B4" s="146">
        <f>'RATE SHEET'!$B$9</f>
        <v>5.0000000000000001E-3</v>
      </c>
      <c r="C4" s="74">
        <f>ROUND($B4*$C$1,0)</f>
        <v>557</v>
      </c>
      <c r="G4" s="152"/>
      <c r="H4" s="152"/>
      <c r="I4" s="152"/>
      <c r="J4" s="152"/>
    </row>
    <row r="5" spans="1:10">
      <c r="A5" s="76" t="s">
        <v>710</v>
      </c>
      <c r="B5" s="146">
        <f>'RATE SHEET'!$B$10</f>
        <v>1.6E-2</v>
      </c>
      <c r="C5" s="74">
        <f>ROUND($B5*$C$1,0)</f>
        <v>1784</v>
      </c>
    </row>
    <row r="6" spans="1:10">
      <c r="A6" s="76" t="s">
        <v>711</v>
      </c>
      <c r="B6" s="146">
        <f>'RATE SHEET'!$B$12</f>
        <v>1.6500000000000001E-2</v>
      </c>
      <c r="C6" s="74">
        <f>ROUND($B6*$C$1,0)</f>
        <v>1839</v>
      </c>
    </row>
    <row r="7" spans="1:10">
      <c r="A7" s="76" t="s">
        <v>712</v>
      </c>
      <c r="B7" s="146">
        <f>'RATE SHEET'!$B$11</f>
        <v>2E-3</v>
      </c>
      <c r="C7" s="74">
        <f>ROUND($B7*$C$1,0)</f>
        <v>223</v>
      </c>
    </row>
    <row r="8" spans="1:10" ht="18">
      <c r="A8" s="78" t="s">
        <v>713</v>
      </c>
      <c r="B8" s="77"/>
      <c r="C8" s="79">
        <f>'RATE SHEET'!$B$19</f>
        <v>32614.48</v>
      </c>
    </row>
    <row r="9" spans="1:10" s="83" customFormat="1" ht="18">
      <c r="A9" s="80" t="s">
        <v>714</v>
      </c>
      <c r="B9" s="81"/>
      <c r="C9" s="82">
        <f>SUM(C1:C8)</f>
        <v>168968.48</v>
      </c>
    </row>
    <row r="11" spans="1:10">
      <c r="A11" s="75" t="s">
        <v>715</v>
      </c>
    </row>
    <row r="13" spans="1:10">
      <c r="A13" s="75" t="s">
        <v>716</v>
      </c>
    </row>
    <row r="15" spans="1:10">
      <c r="C15" s="170">
        <v>99.31</v>
      </c>
      <c r="E15" s="171" t="s">
        <v>717</v>
      </c>
    </row>
  </sheetData>
  <pageMargins left="0.75" right="0.75" top="1.38" bottom="1" header="0.5" footer="0.5"/>
  <pageSetup orientation="portrait" r:id="rId1"/>
  <headerFooter alignWithMargins="0">
    <oddHeader>&amp;C&amp;"Times New Roman,Regular"&amp;12Riverside Community College District
2014/2015 Faculty Total Cost of Position</oddHeader>
    <oddFooter>&amp;R&amp;9&amp;Z&amp;F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499984740745262"/>
  </sheetPr>
  <dimension ref="A1:J13"/>
  <sheetViews>
    <sheetView workbookViewId="0">
      <selection activeCell="D14" sqref="D14"/>
    </sheetView>
  </sheetViews>
  <sheetFormatPr defaultColWidth="9.140625" defaultRowHeight="15.75"/>
  <cols>
    <col min="1" max="1" width="14" style="75" customWidth="1"/>
    <col min="2" max="2" width="9.28515625" style="84" customWidth="1"/>
    <col min="3" max="3" width="14.140625" style="75" customWidth="1"/>
    <col min="4" max="4" width="2.28515625" style="75" customWidth="1"/>
    <col min="5" max="16384" width="9.140625" style="75"/>
  </cols>
  <sheetData>
    <row r="1" spans="1:10">
      <c r="A1" s="72" t="s">
        <v>704</v>
      </c>
      <c r="B1" s="73" t="s">
        <v>705</v>
      </c>
      <c r="C1" s="167">
        <v>117808</v>
      </c>
      <c r="E1" s="75" t="s">
        <v>718</v>
      </c>
    </row>
    <row r="2" spans="1:10">
      <c r="A2" s="76" t="s">
        <v>707</v>
      </c>
      <c r="B2" s="146">
        <f>'RATE SHEET'!$B$5</f>
        <v>0.16919999999999999</v>
      </c>
      <c r="C2" s="74">
        <f>ROUND($B2*$C$1,0)</f>
        <v>19933</v>
      </c>
    </row>
    <row r="3" spans="1:10" ht="15.95" customHeight="1">
      <c r="A3" s="76" t="s">
        <v>708</v>
      </c>
      <c r="B3" s="146">
        <f>'RATE SHEET'!$B$8</f>
        <v>1.4500000000000001E-2</v>
      </c>
      <c r="C3" s="74">
        <f t="shared" ref="C3:C7" si="0">ROUND($B3*$C$1,0)</f>
        <v>1708</v>
      </c>
      <c r="G3" s="152"/>
      <c r="H3" s="152"/>
      <c r="I3" s="152"/>
      <c r="J3" s="152"/>
    </row>
    <row r="4" spans="1:10" ht="15.95" customHeight="1">
      <c r="A4" s="76" t="s">
        <v>709</v>
      </c>
      <c r="B4" s="146">
        <f>'RATE SHEET'!$B$9</f>
        <v>5.0000000000000001E-3</v>
      </c>
      <c r="C4" s="74">
        <f t="shared" si="0"/>
        <v>589</v>
      </c>
      <c r="G4" s="152"/>
      <c r="H4" s="152"/>
      <c r="I4" s="152"/>
      <c r="J4" s="152"/>
    </row>
    <row r="5" spans="1:10">
      <c r="A5" s="76" t="s">
        <v>710</v>
      </c>
      <c r="B5" s="146">
        <f>'RATE SHEET'!$B$10</f>
        <v>1.6E-2</v>
      </c>
      <c r="C5" s="74">
        <f t="shared" si="0"/>
        <v>1885</v>
      </c>
    </row>
    <row r="6" spans="1:10">
      <c r="A6" s="76" t="s">
        <v>711</v>
      </c>
      <c r="B6" s="146">
        <f>'RATE SHEET'!$B$12</f>
        <v>1.6500000000000001E-2</v>
      </c>
      <c r="C6" s="74">
        <f t="shared" si="0"/>
        <v>1944</v>
      </c>
    </row>
    <row r="7" spans="1:10">
      <c r="A7" s="76" t="s">
        <v>712</v>
      </c>
      <c r="B7" s="146">
        <f>'RATE SHEET'!$B$11</f>
        <v>2E-3</v>
      </c>
      <c r="C7" s="74">
        <f t="shared" si="0"/>
        <v>236</v>
      </c>
    </row>
    <row r="8" spans="1:10" ht="18">
      <c r="A8" s="78" t="s">
        <v>713</v>
      </c>
      <c r="B8" s="146"/>
      <c r="C8" s="79">
        <f>'RATE SHEET'!$B$19</f>
        <v>32614.48</v>
      </c>
    </row>
    <row r="9" spans="1:10" s="83" customFormat="1" ht="18">
      <c r="A9" s="80" t="s">
        <v>714</v>
      </c>
      <c r="B9" s="81"/>
      <c r="C9" s="82">
        <f>SUM(C1:C8)</f>
        <v>176717.48</v>
      </c>
    </row>
    <row r="11" spans="1:10">
      <c r="A11" s="75" t="s">
        <v>715</v>
      </c>
    </row>
    <row r="13" spans="1:10">
      <c r="A13" s="75" t="s">
        <v>716</v>
      </c>
    </row>
  </sheetData>
  <pageMargins left="0.75" right="0.75" top="1.38" bottom="1" header="0.5" footer="0.5"/>
  <pageSetup orientation="portrait" r:id="rId1"/>
  <headerFooter alignWithMargins="0">
    <oddHeader>&amp;C&amp;"Times New Roman,Regular"&amp;12Riverside Community College District
2014/2015 Counselor/Librarian Total Cost of Position</oddHeader>
    <oddFooter>&amp;R&amp;9&amp;Z&amp;F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499984740745262"/>
  </sheetPr>
  <dimension ref="A1:J20"/>
  <sheetViews>
    <sheetView workbookViewId="0">
      <selection activeCell="C14" sqref="C14"/>
    </sheetView>
  </sheetViews>
  <sheetFormatPr defaultColWidth="9.140625" defaultRowHeight="15.75"/>
  <cols>
    <col min="1" max="1" width="16.28515625" style="75" customWidth="1"/>
    <col min="2" max="2" width="14.28515625" style="84" customWidth="1"/>
    <col min="3" max="3" width="14.140625" style="75" customWidth="1"/>
    <col min="4" max="4" width="2.28515625" style="75" customWidth="1"/>
    <col min="5" max="5" width="9.140625" style="75"/>
    <col min="6" max="6" width="16.140625" style="75" customWidth="1"/>
    <col min="7" max="7" width="14" style="75" bestFit="1" customWidth="1"/>
    <col min="8" max="8" width="9.140625" style="75"/>
    <col min="9" max="9" width="21.85546875" style="75" customWidth="1"/>
    <col min="10" max="16384" width="9.140625" style="75"/>
  </cols>
  <sheetData>
    <row r="1" spans="1:10">
      <c r="A1" s="75" t="s">
        <v>719</v>
      </c>
      <c r="B1" s="85"/>
      <c r="C1" s="168">
        <v>99.31</v>
      </c>
      <c r="E1" s="75" t="s">
        <v>720</v>
      </c>
    </row>
    <row r="2" spans="1:10">
      <c r="A2" s="75" t="s">
        <v>721</v>
      </c>
      <c r="B2" s="85"/>
      <c r="C2" s="75">
        <v>54</v>
      </c>
    </row>
    <row r="3" spans="1:10">
      <c r="A3" s="75" t="s">
        <v>722</v>
      </c>
      <c r="B3" s="85"/>
      <c r="C3" s="168">
        <v>66.23</v>
      </c>
      <c r="E3" s="75" t="s">
        <v>723</v>
      </c>
    </row>
    <row r="4" spans="1:10">
      <c r="A4" s="75" t="s">
        <v>724</v>
      </c>
      <c r="B4" s="85"/>
      <c r="C4" s="75">
        <v>3</v>
      </c>
    </row>
    <row r="5" spans="1:10" ht="31.5" customHeight="1">
      <c r="A5" s="124" t="s">
        <v>725</v>
      </c>
      <c r="B5" s="124"/>
      <c r="C5" s="74">
        <f>ROUND((($C$1*$C$2)+($C$4*$C$3)),2)</f>
        <v>5561.43</v>
      </c>
      <c r="G5" s="441"/>
      <c r="H5" s="152"/>
      <c r="I5" s="442"/>
      <c r="J5" s="152"/>
    </row>
    <row r="6" spans="1:10" ht="31.5" customHeight="1">
      <c r="A6" s="478" t="s">
        <v>726</v>
      </c>
      <c r="B6" s="478"/>
      <c r="C6" s="91">
        <f>ROUND(C5*10,0)</f>
        <v>55614</v>
      </c>
      <c r="G6" s="152"/>
      <c r="H6" s="152"/>
      <c r="I6" s="442"/>
      <c r="J6" s="152"/>
    </row>
    <row r="7" spans="1:10" ht="15.95" customHeight="1">
      <c r="A7" s="76" t="s">
        <v>707</v>
      </c>
      <c r="B7" s="146">
        <f>'RATE SHEET'!$B$5</f>
        <v>0.16919999999999999</v>
      </c>
      <c r="C7" s="74">
        <f>ROUND($B7*$C$6,0)</f>
        <v>9410</v>
      </c>
      <c r="F7" s="125"/>
      <c r="I7" s="443"/>
    </row>
    <row r="8" spans="1:10" ht="15.95" customHeight="1">
      <c r="A8" s="76" t="s">
        <v>708</v>
      </c>
      <c r="B8" s="146">
        <f>'RATE SHEET'!$B$8</f>
        <v>1.4500000000000001E-2</v>
      </c>
      <c r="C8" s="74">
        <f t="shared" ref="C8:C12" si="0">ROUND($B8*$C$6,0)</f>
        <v>806</v>
      </c>
    </row>
    <row r="9" spans="1:10">
      <c r="A9" s="76" t="s">
        <v>709</v>
      </c>
      <c r="B9" s="146">
        <f>'RATE SHEET'!$B$9</f>
        <v>5.0000000000000001E-3</v>
      </c>
      <c r="C9" s="74">
        <f t="shared" si="0"/>
        <v>278</v>
      </c>
    </row>
    <row r="10" spans="1:10">
      <c r="A10" s="76" t="s">
        <v>710</v>
      </c>
      <c r="B10" s="146">
        <f>'RATE SHEET'!$B$10</f>
        <v>1.6E-2</v>
      </c>
      <c r="C10" s="74">
        <f t="shared" si="0"/>
        <v>890</v>
      </c>
    </row>
    <row r="11" spans="1:10">
      <c r="A11" s="76" t="s">
        <v>711</v>
      </c>
      <c r="B11" s="146">
        <f>'RATE SHEET'!$B$12</f>
        <v>1.6500000000000001E-2</v>
      </c>
      <c r="C11" s="74">
        <f t="shared" si="0"/>
        <v>918</v>
      </c>
    </row>
    <row r="12" spans="1:10">
      <c r="A12" s="76" t="s">
        <v>712</v>
      </c>
      <c r="B12" s="146">
        <f>'RATE SHEET'!$B$11</f>
        <v>2E-3</v>
      </c>
      <c r="C12" s="74">
        <f t="shared" si="0"/>
        <v>111</v>
      </c>
    </row>
    <row r="13" spans="1:10" ht="18">
      <c r="A13" s="78" t="s">
        <v>727</v>
      </c>
      <c r="B13" s="77"/>
      <c r="C13" s="79">
        <v>0</v>
      </c>
    </row>
    <row r="14" spans="1:10" ht="18">
      <c r="A14" s="80" t="s">
        <v>714</v>
      </c>
      <c r="B14" s="81"/>
      <c r="C14" s="82">
        <f>SUM(C6:C13)</f>
        <v>68027</v>
      </c>
    </row>
    <row r="16" spans="1:10" s="83" customFormat="1">
      <c r="A16" s="527" t="s">
        <v>728</v>
      </c>
      <c r="B16" s="527"/>
      <c r="C16" s="129">
        <f>C6/2</f>
        <v>27807</v>
      </c>
      <c r="F16" s="440"/>
    </row>
    <row r="18" spans="1:1">
      <c r="A18" s="75" t="s">
        <v>729</v>
      </c>
    </row>
    <row r="20" spans="1:1">
      <c r="A20" s="75" t="s">
        <v>716</v>
      </c>
    </row>
  </sheetData>
  <mergeCells count="1">
    <mergeCell ref="A16:B16"/>
  </mergeCells>
  <pageMargins left="0.75" right="0.75" top="1.45" bottom="1" header="0.5" footer="0.5"/>
  <pageSetup orientation="portrait" r:id="rId1"/>
  <headerFooter alignWithMargins="0">
    <oddHeader>&amp;C&amp;"Times New Roman,Regular"&amp;12Riverside Community College District
2013/2014 Part Time Faculty
Cost for 2.0 FTEs</oddHeader>
    <oddFooter>&amp;R&amp;9&amp;Z&amp;F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B781B2C5E67FF4992DF35D4DBFA8F0F" ma:contentTypeVersion="2" ma:contentTypeDescription="Create a new document." ma:contentTypeScope="" ma:versionID="6e126c22d966e0d745594ea8702478ec">
  <xsd:schema xmlns:xsd="http://www.w3.org/2001/XMLSchema" xmlns:xs="http://www.w3.org/2001/XMLSchema" xmlns:p="http://schemas.microsoft.com/office/2006/metadata/properties" xmlns:ns1="http://schemas.microsoft.com/sharepoint/v3" xmlns:ns2="16784278-ba54-4fc1-8023-6c4ad871a038" targetNamespace="http://schemas.microsoft.com/office/2006/metadata/properties" ma:root="true" ma:fieldsID="3bff00b6013e9d151abf4eeeb09746aa" ns1:_="" ns2:_="">
    <xsd:import namespace="http://schemas.microsoft.com/sharepoint/v3"/>
    <xsd:import namespace="16784278-ba54-4fc1-8023-6c4ad871a038"/>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6784278-ba54-4fc1-8023-6c4ad871a038"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2C0A5917-D7E2-4D83-A300-66EA5DAFCC08}"/>
</file>

<file path=customXml/itemProps2.xml><?xml version="1.0" encoding="utf-8"?>
<ds:datastoreItem xmlns:ds="http://schemas.openxmlformats.org/officeDocument/2006/customXml" ds:itemID="{A957D224-F5BF-4D87-B4BC-3BA728B79F5A}"/>
</file>

<file path=customXml/itemProps3.xml><?xml version="1.0" encoding="utf-8"?>
<ds:datastoreItem xmlns:ds="http://schemas.openxmlformats.org/officeDocument/2006/customXml" ds:itemID="{9549644D-55FD-46F7-AEA1-B2073065B31E}"/>
</file>

<file path=customXml/itemProps4.xml><?xml version="1.0" encoding="utf-8"?>
<ds:datastoreItem xmlns:ds="http://schemas.openxmlformats.org/officeDocument/2006/customXml" ds:itemID="{BDAB6B7F-9FE6-48E9-ACE3-B94D687402F1}"/>
</file>

<file path=docProps/app.xml><?xml version="1.0" encoding="utf-8"?>
<Properties xmlns="http://schemas.openxmlformats.org/officeDocument/2006/extended-properties" xmlns:vt="http://schemas.openxmlformats.org/officeDocument/2006/docPropsVTypes">
  <Application>Microsoft Excel Online</Application>
  <Manager/>
  <Company>Microsoft Corporation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Jilly Bear</dc:creator>
  <cp:keywords/>
  <dc:description/>
  <cp:lastModifiedBy>Abejar, Esmeralda</cp:lastModifiedBy>
  <cp:revision/>
  <dcterms:created xsi:type="dcterms:W3CDTF">2006-11-02T01:44:33Z</dcterms:created>
  <dcterms:modified xsi:type="dcterms:W3CDTF">2021-10-19T21:22:28Z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Order">
    <vt:lpwstr>37900.0000000000</vt:lpwstr>
  </property>
  <property fmtid="{D5CDD505-2E9C-101B-9397-08002B2CF9AE}" pid="4" name="TemplateUrl">
    <vt:lpwstr/>
  </property>
  <property fmtid="{D5CDD505-2E9C-101B-9397-08002B2CF9AE}" pid="5" name="xd_ProgID">
    <vt:lpwstr/>
  </property>
  <property fmtid="{D5CDD505-2E9C-101B-9397-08002B2CF9AE}" pid="6" name="ContentTypeId">
    <vt:lpwstr>0x0101004B781B2C5E67FF4992DF35D4DBFA8F0F</vt:lpwstr>
  </property>
</Properties>
</file>