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styc\Documents\Misty\Total Position Cost\"/>
    </mc:Choice>
  </mc:AlternateContent>
  <bookViews>
    <workbookView xWindow="0" yWindow="0" windowWidth="24000" windowHeight="9735" tabRatio="708" activeTab="2"/>
  </bookViews>
  <sheets>
    <sheet name="Fixed Costs-Done" sheetId="33" r:id="rId1"/>
    <sheet name="Summary-Done" sheetId="9" r:id="rId2"/>
    <sheet name="Expenses-Done" sheetId="8" r:id="rId3"/>
    <sheet name="Administrator Job Titles-Done" sheetId="32" r:id="rId4"/>
    <sheet name="Classified Job Titles-Done" sheetId="34" r:id="rId5"/>
    <sheet name="Short Term Non Classified-Done" sheetId="36" r:id="rId6"/>
    <sheet name="TCP Full Time Fac-Done" sheetId="21" r:id="rId7"/>
    <sheet name="TCP Full Time CounsLib-Done" sheetId="24" r:id="rId8"/>
    <sheet name="TCP Assoc Fac-Done" sheetId="22" r:id="rId9"/>
    <sheet name="Student Employment-Done" sheetId="35" r:id="rId10"/>
    <sheet name="Cost Per Section" sheetId="29" r:id="rId11"/>
    <sheet name="Technology" sheetId="23" r:id="rId12"/>
    <sheet name="Utilities" sheetId="27" r:id="rId13"/>
    <sheet name="M &amp; O Standards" sheetId="18" r:id="rId14"/>
    <sheet name="FUSION GSF BY LOCATION" sheetId="19" r:id="rId15"/>
    <sheet name="bldg_summary Norco 071917" sheetId="31" state="hidden" r:id="rId16"/>
  </sheets>
  <definedNames>
    <definedName name="_xlnm._FilterDatabase" localSheetId="5" hidden="1">'Short Term Non Classified-Done'!$A$1:$B$116</definedName>
    <definedName name="AdministratorTitles">#REF!</definedName>
    <definedName name="AdminTitles">'Administrator Job Titles-Done'!$A$2:$A$140</definedName>
    <definedName name="AdminTitles2">#REF!</definedName>
    <definedName name="ClassTitles">'Classified Job Titles-Done'!$A$2:$A$284</definedName>
    <definedName name="ClassTitles2">#REF!</definedName>
    <definedName name="_xlnm.Print_Area" localSheetId="2">'Expenses-Done'!$A$1:$J$58</definedName>
    <definedName name="_xlnm.Print_Area" localSheetId="14">'FUSION GSF BY LOCATION'!$A$2:$P$73</definedName>
    <definedName name="_xlnm.Print_Area" localSheetId="13">'M &amp; O Standards'!$A$1:$S$48</definedName>
    <definedName name="Sections">#REF!</definedName>
    <definedName name="ShortTerm">'Short Term Non Classified-Done'!$A$1:$A$116</definedName>
    <definedName name="StudentTitles">'Student Employment-Done'!$A$3:$A$8</definedName>
  </definedNames>
  <calcPr calcId="162913"/>
</workbook>
</file>

<file path=xl/calcChain.xml><?xml version="1.0" encoding="utf-8"?>
<calcChain xmlns="http://schemas.openxmlformats.org/spreadsheetml/2006/main">
  <c r="E13" i="8" l="1"/>
  <c r="E12" i="8"/>
  <c r="I10" i="8" l="1"/>
  <c r="H8" i="8"/>
  <c r="I8" i="8" s="1"/>
  <c r="I7" i="8"/>
  <c r="H7" i="8"/>
  <c r="I6" i="8"/>
  <c r="H6" i="8"/>
  <c r="E11" i="33"/>
  <c r="B14" i="33"/>
  <c r="B13" i="33"/>
  <c r="B12" i="33"/>
  <c r="B11" i="33"/>
  <c r="H5" i="8" l="1"/>
  <c r="I5" i="8" s="1"/>
  <c r="H4" i="8"/>
  <c r="I4" i="8" s="1"/>
  <c r="N29" i="29" l="1"/>
  <c r="M29" i="29"/>
  <c r="N28" i="29"/>
  <c r="M28" i="29"/>
  <c r="O28" i="29" s="1"/>
  <c r="N27" i="29"/>
  <c r="M27" i="29"/>
  <c r="O26" i="29"/>
  <c r="N26" i="29"/>
  <c r="M26" i="29"/>
  <c r="N25" i="29"/>
  <c r="M25" i="29"/>
  <c r="O25" i="29" s="1"/>
  <c r="N24" i="29"/>
  <c r="O24" i="29" s="1"/>
  <c r="M24" i="29"/>
  <c r="N23" i="29"/>
  <c r="O23" i="29" s="1"/>
  <c r="M23" i="29"/>
  <c r="N22" i="29"/>
  <c r="M22" i="29"/>
  <c r="O22" i="29" s="1"/>
  <c r="O21" i="29"/>
  <c r="N21" i="29"/>
  <c r="M21" i="29"/>
  <c r="N20" i="29"/>
  <c r="M20" i="29"/>
  <c r="O20" i="29" s="1"/>
  <c r="N19" i="29"/>
  <c r="M19" i="29"/>
  <c r="O19" i="29" s="1"/>
  <c r="O18" i="29"/>
  <c r="N18" i="29"/>
  <c r="M18" i="29"/>
  <c r="N17" i="29"/>
  <c r="M17" i="29"/>
  <c r="O17" i="29" s="1"/>
  <c r="N16" i="29"/>
  <c r="O16" i="29" s="1"/>
  <c r="M16" i="29"/>
  <c r="N15" i="29"/>
  <c r="O15" i="29" s="1"/>
  <c r="M15" i="29"/>
  <c r="N14" i="29"/>
  <c r="M14" i="29"/>
  <c r="O14" i="29" s="1"/>
  <c r="O13" i="29"/>
  <c r="N13" i="29"/>
  <c r="M13" i="29"/>
  <c r="O12" i="29"/>
  <c r="N12" i="29"/>
  <c r="M12" i="29"/>
  <c r="N11" i="29"/>
  <c r="M11" i="29"/>
  <c r="O11" i="29" s="1"/>
  <c r="O10" i="29"/>
  <c r="N10" i="29"/>
  <c r="M10" i="29"/>
  <c r="N9" i="29"/>
  <c r="M9" i="29"/>
  <c r="O9" i="29" s="1"/>
  <c r="N8" i="29"/>
  <c r="M8" i="29"/>
  <c r="O8" i="29" s="1"/>
  <c r="N7" i="29"/>
  <c r="O7" i="29" s="1"/>
  <c r="M7" i="29"/>
  <c r="N6" i="29"/>
  <c r="M6" i="29"/>
  <c r="O6" i="29" s="1"/>
  <c r="O5" i="29"/>
  <c r="N5" i="29"/>
  <c r="M5" i="29"/>
  <c r="O4" i="29"/>
  <c r="N4" i="29"/>
  <c r="M4" i="29"/>
  <c r="N3" i="29"/>
  <c r="M3" i="29"/>
  <c r="O3" i="29" s="1"/>
  <c r="J20" i="29" l="1"/>
  <c r="J12" i="29"/>
  <c r="J3" i="29"/>
  <c r="C97" i="19" l="1"/>
  <c r="C98" i="19" l="1"/>
  <c r="C93" i="19" l="1"/>
  <c r="C101" i="19" l="1"/>
  <c r="B10" i="27"/>
  <c r="H52" i="19"/>
  <c r="B12" i="27" s="1"/>
  <c r="L43" i="19" l="1"/>
  <c r="L49" i="19" l="1"/>
  <c r="B11" i="27"/>
  <c r="G15" i="8" l="1"/>
  <c r="H14" i="8"/>
  <c r="I14" i="8" s="1"/>
  <c r="D2" i="23" l="1"/>
  <c r="D11" i="23" s="1"/>
  <c r="D18" i="23"/>
  <c r="D17" i="23"/>
  <c r="D12" i="23" l="1"/>
  <c r="D13" i="23"/>
  <c r="D8" i="23"/>
  <c r="D19" i="23" s="1"/>
  <c r="D14" i="23" l="1"/>
  <c r="D21" i="23" s="1"/>
  <c r="D24" i="23" s="1"/>
  <c r="C7" i="24" l="1"/>
  <c r="C7" i="21"/>
  <c r="F28" i="29" l="1"/>
  <c r="E28" i="29"/>
  <c r="E27" i="29"/>
  <c r="F26" i="29"/>
  <c r="E26" i="29"/>
  <c r="E24" i="29"/>
  <c r="F23" i="29"/>
  <c r="E23" i="29"/>
  <c r="H20" i="29"/>
  <c r="F19" i="29"/>
  <c r="E19" i="29"/>
  <c r="F18" i="29"/>
  <c r="E18" i="29"/>
  <c r="E16" i="29"/>
  <c r="F14" i="29"/>
  <c r="E14" i="29"/>
  <c r="F13" i="29"/>
  <c r="E13" i="29"/>
  <c r="H12" i="29"/>
  <c r="G12" i="29"/>
  <c r="F12" i="29"/>
  <c r="E12" i="29"/>
  <c r="C12" i="29"/>
  <c r="F11" i="29"/>
  <c r="E11" i="29"/>
  <c r="F10" i="29"/>
  <c r="E10" i="29"/>
  <c r="F6" i="29"/>
  <c r="E6" i="29"/>
  <c r="E4" i="29"/>
  <c r="H13" i="8" l="1"/>
  <c r="G13" i="8"/>
  <c r="I13" i="8" l="1"/>
  <c r="J13" i="8" s="1"/>
  <c r="H10" i="8"/>
  <c r="H9" i="8"/>
  <c r="I9" i="8" s="1"/>
  <c r="G31" i="8"/>
  <c r="I31" i="8" s="1"/>
  <c r="G30" i="8"/>
  <c r="I30" i="8" s="1"/>
  <c r="G57" i="8"/>
  <c r="G49" i="8"/>
  <c r="C9" i="9"/>
  <c r="I26" i="8"/>
  <c r="G19" i="8"/>
  <c r="I19" i="8" s="1"/>
  <c r="I20" i="8" s="1"/>
  <c r="D9" i="9" s="1"/>
  <c r="I24" i="8"/>
  <c r="I27" i="8"/>
  <c r="J8" i="8"/>
  <c r="R12" i="27"/>
  <c r="Q12" i="27"/>
  <c r="M12" i="27"/>
  <c r="L12" i="27"/>
  <c r="H12" i="27"/>
  <c r="G12" i="27"/>
  <c r="R11" i="27"/>
  <c r="Q11" i="27"/>
  <c r="M11" i="27"/>
  <c r="L11" i="27"/>
  <c r="H11" i="27"/>
  <c r="G11" i="27"/>
  <c r="R10" i="27"/>
  <c r="Q10" i="27"/>
  <c r="M10" i="27"/>
  <c r="L10" i="27"/>
  <c r="H10" i="27"/>
  <c r="G10" i="27"/>
  <c r="R9" i="27"/>
  <c r="M9" i="27"/>
  <c r="H9" i="27"/>
  <c r="H37" i="8"/>
  <c r="C11" i="9" s="1"/>
  <c r="G40" i="8"/>
  <c r="G41" i="8" s="1"/>
  <c r="B13" i="9" s="1"/>
  <c r="C6" i="24"/>
  <c r="C5" i="24"/>
  <c r="C4" i="24"/>
  <c r="C3" i="24"/>
  <c r="C2" i="24"/>
  <c r="C6" i="21"/>
  <c r="C5" i="21"/>
  <c r="C4" i="21"/>
  <c r="C3" i="21"/>
  <c r="C2" i="21"/>
  <c r="H40" i="8"/>
  <c r="C5" i="22"/>
  <c r="C6" i="22" s="1"/>
  <c r="H55" i="19"/>
  <c r="P18" i="19"/>
  <c r="P22" i="19" s="1"/>
  <c r="B9" i="27" s="1"/>
  <c r="Q9" i="27" s="1"/>
  <c r="V44" i="18"/>
  <c r="W43" i="18" s="1"/>
  <c r="Q44" i="18"/>
  <c r="I44" i="18"/>
  <c r="Q36" i="18"/>
  <c r="M36" i="18"/>
  <c r="I36" i="18"/>
  <c r="S34" i="18"/>
  <c r="O34" i="18"/>
  <c r="K34" i="18"/>
  <c r="R33" i="18"/>
  <c r="S33" i="18" s="1"/>
  <c r="N33" i="18"/>
  <c r="O33" i="18" s="1"/>
  <c r="K30" i="18"/>
  <c r="S29" i="18"/>
  <c r="O29" i="18"/>
  <c r="K29" i="18"/>
  <c r="R28" i="18"/>
  <c r="S28" i="18" s="1"/>
  <c r="N28" i="18"/>
  <c r="O28" i="18" s="1"/>
  <c r="J28" i="18"/>
  <c r="K28" i="18" s="1"/>
  <c r="R27" i="18"/>
  <c r="S27" i="18" s="1"/>
  <c r="N27" i="18"/>
  <c r="O27" i="18" s="1"/>
  <c r="K27" i="18"/>
  <c r="R26" i="18"/>
  <c r="S26" i="18" s="1"/>
  <c r="N26" i="18"/>
  <c r="O26" i="18" s="1"/>
  <c r="J26" i="18"/>
  <c r="K26" i="18" s="1"/>
  <c r="R23" i="18"/>
  <c r="S23" i="18" s="1"/>
  <c r="N23" i="18"/>
  <c r="S20" i="18"/>
  <c r="O20" i="18"/>
  <c r="S19" i="18"/>
  <c r="O19" i="18"/>
  <c r="K19" i="18"/>
  <c r="S18" i="18"/>
  <c r="O18" i="18"/>
  <c r="K18" i="18"/>
  <c r="S15" i="18"/>
  <c r="O15" i="18"/>
  <c r="K15" i="18"/>
  <c r="S14" i="18"/>
  <c r="O14" i="18"/>
  <c r="K14" i="18"/>
  <c r="S13" i="18"/>
  <c r="O13" i="18"/>
  <c r="K13" i="18"/>
  <c r="S12" i="18"/>
  <c r="O12" i="18"/>
  <c r="K12" i="18"/>
  <c r="S11" i="18"/>
  <c r="O11" i="18"/>
  <c r="K11" i="18"/>
  <c r="K10" i="18"/>
  <c r="S9" i="18"/>
  <c r="O9" i="18"/>
  <c r="K9" i="18"/>
  <c r="S8" i="18"/>
  <c r="O8" i="18"/>
  <c r="K8" i="18"/>
  <c r="I48" i="8"/>
  <c r="I29" i="8"/>
  <c r="I53" i="8"/>
  <c r="I54" i="8"/>
  <c r="I55" i="8"/>
  <c r="I52" i="8"/>
  <c r="I45" i="8"/>
  <c r="I46" i="8"/>
  <c r="I47" i="8"/>
  <c r="I28" i="8"/>
  <c r="I32" i="8"/>
  <c r="I33" i="8"/>
  <c r="I25" i="8"/>
  <c r="I34" i="8"/>
  <c r="I35" i="8"/>
  <c r="I36" i="8"/>
  <c r="B25" i="9"/>
  <c r="B23" i="9"/>
  <c r="B21" i="9"/>
  <c r="B26" i="9" s="1"/>
  <c r="J7" i="8"/>
  <c r="H49" i="8"/>
  <c r="J6" i="8"/>
  <c r="G9" i="27" l="1"/>
  <c r="L9" i="27"/>
  <c r="L13" i="27"/>
  <c r="I40" i="18"/>
  <c r="J23" i="18" s="1"/>
  <c r="K23" i="18" s="1"/>
  <c r="G58" i="8"/>
  <c r="B15" i="9" s="1"/>
  <c r="C9" i="21"/>
  <c r="I49" i="8"/>
  <c r="G13" i="27"/>
  <c r="N36" i="18"/>
  <c r="O37" i="18" s="1"/>
  <c r="Q13" i="27"/>
  <c r="G12" i="8"/>
  <c r="H12" i="8"/>
  <c r="J9" i="8"/>
  <c r="W41" i="18"/>
  <c r="W42" i="18"/>
  <c r="R36" i="18"/>
  <c r="S37" i="18" s="1"/>
  <c r="O23" i="18"/>
  <c r="O36" i="18"/>
  <c r="C7" i="22"/>
  <c r="C16" i="22"/>
  <c r="G14" i="8" s="1"/>
  <c r="C12" i="22"/>
  <c r="H41" i="8"/>
  <c r="C13" i="9" s="1"/>
  <c r="I40" i="8"/>
  <c r="I41" i="8" s="1"/>
  <c r="D13" i="9" s="1"/>
  <c r="C11" i="22"/>
  <c r="C8" i="22"/>
  <c r="S36" i="18"/>
  <c r="I37" i="8"/>
  <c r="D11" i="9" s="1"/>
  <c r="G37" i="8"/>
  <c r="B11" i="9" s="1"/>
  <c r="G20" i="8"/>
  <c r="B9" i="9" s="1"/>
  <c r="J5" i="8"/>
  <c r="C9" i="22"/>
  <c r="C10" i="22"/>
  <c r="C9" i="24"/>
  <c r="J4" i="8"/>
  <c r="I12" i="8" l="1"/>
  <c r="J12" i="8" s="1"/>
  <c r="L20" i="27"/>
  <c r="L22" i="27"/>
  <c r="J20" i="18"/>
  <c r="K20" i="18" s="1"/>
  <c r="J33" i="18"/>
  <c r="K33" i="18" s="1"/>
  <c r="L21" i="27"/>
  <c r="L19" i="27"/>
  <c r="W44" i="18"/>
  <c r="L18" i="27"/>
  <c r="G16" i="8"/>
  <c r="C14" i="22"/>
  <c r="J10" i="8"/>
  <c r="H15" i="8"/>
  <c r="I15" i="8" l="1"/>
  <c r="J15" i="8" s="1"/>
  <c r="K36" i="18"/>
  <c r="J36" i="18"/>
  <c r="K37" i="18" s="1"/>
  <c r="L23" i="27"/>
  <c r="H56" i="8" s="1"/>
  <c r="J14" i="8"/>
  <c r="H16" i="8"/>
  <c r="B7" i="9" s="1"/>
  <c r="B17" i="9" s="1"/>
  <c r="I16" i="8" l="1"/>
  <c r="C7" i="9" s="1"/>
  <c r="J16" i="8"/>
  <c r="D7" i="9" s="1"/>
  <c r="H57" i="8"/>
  <c r="H58" i="8" s="1"/>
  <c r="C15" i="9" s="1"/>
  <c r="C17" i="9" s="1"/>
  <c r="I56" i="8"/>
  <c r="I57" i="8" s="1"/>
  <c r="I58" i="8" s="1"/>
  <c r="D15" i="9" s="1"/>
  <c r="D17" i="9" l="1"/>
</calcChain>
</file>

<file path=xl/comments1.xml><?xml version="1.0" encoding="utf-8"?>
<comments xmlns="http://schemas.openxmlformats.org/spreadsheetml/2006/main">
  <authors>
    <author>Rose, Lisette</author>
  </authors>
  <commentList>
    <comment ref="E12" authorId="0" shapeId="0">
      <text>
        <r>
          <rPr>
            <sz val="9"/>
            <color indexed="81"/>
            <rFont val="Tahoma"/>
            <family val="2"/>
          </rPr>
          <t xml:space="preserve">Effective January 2019, minimum wage rates will increase to $12/hr.
</t>
        </r>
      </text>
    </comment>
    <comment ref="E13" authorId="0" shapeId="0">
      <text>
        <r>
          <rPr>
            <sz val="9"/>
            <color indexed="81"/>
            <rFont val="Tahoma"/>
            <family val="2"/>
          </rPr>
          <t xml:space="preserve">Effective January 2019, minimum wage rates will increase to $12/hr.
</t>
        </r>
      </text>
    </comment>
  </commentList>
</comments>
</file>

<file path=xl/comments2.xml><?xml version="1.0" encoding="utf-8"?>
<comments xmlns="http://schemas.openxmlformats.org/spreadsheetml/2006/main">
  <authors>
    <author>Rose, Lisette</author>
  </authors>
  <commentList>
    <comment ref="K1" authorId="0" shapeId="0">
      <text>
        <r>
          <rPr>
            <b/>
            <sz val="9"/>
            <color indexed="81"/>
            <rFont val="Tahoma"/>
            <family val="2"/>
          </rPr>
          <t>Rose, Lisette:</t>
        </r>
        <r>
          <rPr>
            <sz val="9"/>
            <color indexed="81"/>
            <rFont val="Tahoma"/>
            <family val="2"/>
          </rPr>
          <t xml:space="preserve">
Cost Data export dtd 080917</t>
        </r>
      </text>
    </comment>
    <comment ref="L2" authorId="0" shapeId="0">
      <text>
        <r>
          <rPr>
            <b/>
            <sz val="9"/>
            <color indexed="81"/>
            <rFont val="Tahoma"/>
            <family val="2"/>
          </rPr>
          <t>Rose, Lisette:</t>
        </r>
        <r>
          <rPr>
            <sz val="9"/>
            <color indexed="81"/>
            <rFont val="Tahoma"/>
            <family val="2"/>
          </rPr>
          <t xml:space="preserve">
Waiting for data from Raj e 7/20/17
</t>
        </r>
      </text>
    </comment>
  </commentList>
</comments>
</file>

<file path=xl/comments3.xml><?xml version="1.0" encoding="utf-8"?>
<comments xmlns="http://schemas.openxmlformats.org/spreadsheetml/2006/main">
  <authors>
    <author>Erin Power</author>
  </authors>
  <commentList>
    <comment ref="D11" authorId="0" shapeId="0">
      <text>
        <r>
          <rPr>
            <b/>
            <sz val="9"/>
            <color indexed="81"/>
            <rFont val="Tahoma"/>
            <family val="2"/>
          </rPr>
          <t>Erin Power:</t>
        </r>
        <r>
          <rPr>
            <sz val="9"/>
            <color indexed="81"/>
            <rFont val="Tahoma"/>
            <family val="2"/>
          </rPr>
          <t xml:space="preserve">
Estimated Life-cycle of a computer is 3-5 years</t>
        </r>
      </text>
    </comment>
    <comment ref="D12" authorId="0" shapeId="0">
      <text>
        <r>
          <rPr>
            <b/>
            <sz val="9"/>
            <color indexed="81"/>
            <rFont val="Tahoma"/>
            <family val="2"/>
          </rPr>
          <t>Erin Power:</t>
        </r>
        <r>
          <rPr>
            <sz val="9"/>
            <color indexed="81"/>
            <rFont val="Tahoma"/>
            <family val="2"/>
          </rPr>
          <t xml:space="preserve">
$125,000/6,000 per Shirley McGraw</t>
        </r>
      </text>
    </comment>
  </commentList>
</comments>
</file>

<file path=xl/comments4.xml><?xml version="1.0" encoding="utf-8"?>
<comments xmlns="http://schemas.openxmlformats.org/spreadsheetml/2006/main">
  <authors>
    <author>Rose, Lisette</author>
    <author>Godin, Norm</author>
    <author>xp</author>
    <author>Wright, Linda</author>
  </authors>
  <commentList>
    <comment ref="B1" authorId="0" shapeId="0">
      <text>
        <r>
          <rPr>
            <b/>
            <sz val="9"/>
            <color indexed="81"/>
            <rFont val="Tahoma"/>
            <family val="2"/>
          </rPr>
          <t>Rose, Lisette:</t>
        </r>
        <r>
          <rPr>
            <sz val="9"/>
            <color indexed="81"/>
            <rFont val="Tahoma"/>
            <family val="2"/>
          </rPr>
          <t xml:space="preserve">
7/25/17- ckd with Beth, leave as is</t>
        </r>
      </text>
    </comment>
    <comment ref="F23" authorId="1" shapeId="0">
      <text>
        <r>
          <rPr>
            <b/>
            <sz val="9"/>
            <color indexed="81"/>
            <rFont val="Tahoma"/>
            <family val="2"/>
          </rPr>
          <t>Godin, Norm:</t>
        </r>
        <r>
          <rPr>
            <sz val="9"/>
            <color indexed="81"/>
            <rFont val="Tahoma"/>
            <family val="2"/>
          </rPr>
          <t xml:space="preserve">
This metric is too low for GSF; pertains more to ASF.
</t>
        </r>
      </text>
    </comment>
    <comment ref="I23" authorId="2" shapeId="0">
      <text>
        <r>
          <rPr>
            <b/>
            <sz val="8"/>
            <color indexed="81"/>
            <rFont val="Tahoma"/>
            <family val="2"/>
          </rPr>
          <t>23 custodians; 2 floor care; 1 gym attendant</t>
        </r>
      </text>
    </comment>
    <comment ref="Q23" authorId="3" shapeId="0">
      <text>
        <r>
          <rPr>
            <b/>
            <sz val="9"/>
            <color indexed="81"/>
            <rFont val="Tahoma"/>
            <family val="2"/>
          </rPr>
          <t>Wright, Linda:</t>
        </r>
        <r>
          <rPr>
            <sz val="9"/>
            <color indexed="81"/>
            <rFont val="Tahoma"/>
            <family val="2"/>
          </rPr>
          <t xml:space="preserve">
8 FT and 1 PT @ 47.5 hpw</t>
        </r>
      </text>
    </comment>
    <comment ref="Q26" authorId="3" shapeId="0">
      <text>
        <r>
          <rPr>
            <b/>
            <sz val="9"/>
            <color indexed="81"/>
            <rFont val="Tahoma"/>
            <family val="2"/>
          </rPr>
          <t>Wright, Linda:</t>
        </r>
        <r>
          <rPr>
            <sz val="9"/>
            <color indexed="81"/>
            <rFont val="Tahoma"/>
            <family val="2"/>
          </rPr>
          <t xml:space="preserve">
1 FT and 1 PT @ 47.5%</t>
        </r>
      </text>
    </comment>
    <comment ref="F33" authorId="1" shapeId="0">
      <text>
        <r>
          <rPr>
            <b/>
            <sz val="9"/>
            <color indexed="81"/>
            <rFont val="Tahoma"/>
            <family val="2"/>
          </rPr>
          <t>Godin, Norm:</t>
        </r>
        <r>
          <rPr>
            <sz val="9"/>
            <color indexed="81"/>
            <rFont val="Tahoma"/>
            <family val="2"/>
          </rPr>
          <t xml:space="preserve">
This metric is too low for GSF; pertains more to ASF.</t>
        </r>
      </text>
    </comment>
  </commentList>
</comments>
</file>

<file path=xl/comments5.xml><?xml version="1.0" encoding="utf-8"?>
<comments xmlns="http://schemas.openxmlformats.org/spreadsheetml/2006/main">
  <authors>
    <author>Rose, Lisette</author>
  </authors>
  <commentList>
    <comment ref="A2" authorId="0" shapeId="0">
      <text>
        <r>
          <rPr>
            <b/>
            <sz val="9"/>
            <color indexed="81"/>
            <rFont val="Tahoma"/>
            <family val="2"/>
          </rPr>
          <t>Rose, Lisette:</t>
        </r>
        <r>
          <rPr>
            <sz val="9"/>
            <color indexed="81"/>
            <rFont val="Tahoma"/>
            <family val="2"/>
          </rPr>
          <t xml:space="preserve">
To get from Ana (fusion)</t>
        </r>
      </text>
    </comment>
    <comment ref="C98" authorId="0" shapeId="0">
      <text>
        <r>
          <rPr>
            <b/>
            <sz val="9"/>
            <color indexed="81"/>
            <rFont val="Tahoma"/>
            <family val="2"/>
          </rPr>
          <t>Rose, Lisette:</t>
        </r>
        <r>
          <rPr>
            <sz val="9"/>
            <color indexed="81"/>
            <rFont val="Tahoma"/>
            <family val="2"/>
          </rPr>
          <t xml:space="preserve">
ck wh checked with Roxanne Greenwood 08/08/17.</t>
        </r>
      </text>
    </comment>
  </commentList>
</comments>
</file>

<file path=xl/sharedStrings.xml><?xml version="1.0" encoding="utf-8"?>
<sst xmlns="http://schemas.openxmlformats.org/spreadsheetml/2006/main" count="1824" uniqueCount="1136">
  <si>
    <t>Total</t>
  </si>
  <si>
    <t>New Ongoing</t>
  </si>
  <si>
    <t>Salaries and Benefits</t>
  </si>
  <si>
    <t>Salaries and Benefits Total</t>
  </si>
  <si>
    <t>Computer Hardware/Software</t>
  </si>
  <si>
    <t>Furniture and Fixtures</t>
  </si>
  <si>
    <t>Instructional Equipment</t>
  </si>
  <si>
    <t>Equipment Maintenance Agreements</t>
  </si>
  <si>
    <t>Memberships/Subscriptions</t>
  </si>
  <si>
    <t>Postage/Shipping/Bulk Mailing</t>
  </si>
  <si>
    <t>Building Construction/Acquisition</t>
  </si>
  <si>
    <t>Building Improvement</t>
  </si>
  <si>
    <t>Site Improvement</t>
  </si>
  <si>
    <t>Capital Outlay Total</t>
  </si>
  <si>
    <t>Telephone</t>
  </si>
  <si>
    <t>Planning Year:</t>
  </si>
  <si>
    <t>Project Title:</t>
  </si>
  <si>
    <t>New One-Time</t>
  </si>
  <si>
    <t>50% Qualifying Costs</t>
  </si>
  <si>
    <t>50% Neutral Costs</t>
  </si>
  <si>
    <t>50% Non-Qualifying Costs</t>
  </si>
  <si>
    <t>Printing or Copying Services</t>
  </si>
  <si>
    <t>Advertising</t>
  </si>
  <si>
    <t>Consultants/Specialists</t>
  </si>
  <si>
    <t>Travel/Conference/Training</t>
  </si>
  <si>
    <t>Building Maintenance</t>
  </si>
  <si>
    <t>Building Security</t>
  </si>
  <si>
    <t>Landscape/Hardscape Maintenance</t>
  </si>
  <si>
    <t>Utilities</t>
  </si>
  <si>
    <t>Other</t>
  </si>
  <si>
    <t>Life Cycle</t>
  </si>
  <si>
    <t>New One Time</t>
  </si>
  <si>
    <t>Salary</t>
  </si>
  <si>
    <t>STRS</t>
  </si>
  <si>
    <t>SUI</t>
  </si>
  <si>
    <t>Table V</t>
  </si>
  <si>
    <t>Maintenance and Operations Task Force</t>
  </si>
  <si>
    <t>Staffing Standard Guidelines</t>
  </si>
  <si>
    <t>Updated 01-2012</t>
  </si>
  <si>
    <t>Updated 12-2013</t>
  </si>
  <si>
    <t>Updated 12-2012</t>
  </si>
  <si>
    <t>Riverside</t>
  </si>
  <si>
    <t>Moreno Valley</t>
  </si>
  <si>
    <t>Norco</t>
  </si>
  <si>
    <t>Position</t>
  </si>
  <si>
    <t>Current</t>
  </si>
  <si>
    <t>Standard</t>
  </si>
  <si>
    <t>Variance</t>
  </si>
  <si>
    <t>Classified Management</t>
  </si>
  <si>
    <t>Director Facility Operations &amp; Maintenance</t>
  </si>
  <si>
    <t>1 FTE Per Campus</t>
  </si>
  <si>
    <t>Maintenance Manager</t>
  </si>
  <si>
    <t>1 FTE Per Campus (@300,000 GSF)</t>
  </si>
  <si>
    <t>Assistant Maintenance Manager</t>
  </si>
  <si>
    <t>1 FTE Per Campus (@500,000 GSF)</t>
  </si>
  <si>
    <t>Grounds Manager (Note C)</t>
  </si>
  <si>
    <t>Assistant Grounds Manager</t>
  </si>
  <si>
    <t>1 FTE Per Campus (@100 Developed Acres)</t>
  </si>
  <si>
    <t>Facilities Supervisor, Grounds &amp; Utilization</t>
  </si>
  <si>
    <t>1 FTE Per Campus (@450,000 GSF)</t>
  </si>
  <si>
    <t>Custodial Manager (Note D)</t>
  </si>
  <si>
    <t>Assistant Custodial Manager</t>
  </si>
  <si>
    <t>Classified Office Staff</t>
  </si>
  <si>
    <t>Administrative Assistant II or III</t>
  </si>
  <si>
    <t>Administrative Assistant I</t>
  </si>
  <si>
    <t>1 FTE @ 200,000 GSF (+ one additional FTE after 500,000 GSF)</t>
  </si>
  <si>
    <t>Facility Utilization Specialist</t>
  </si>
  <si>
    <t>.5 FTE Per 250,000 GSF</t>
  </si>
  <si>
    <t>Classified Custodial Staff (Note A)</t>
  </si>
  <si>
    <t>Custodian</t>
  </si>
  <si>
    <t>1 FTE Per 23,500 GSF</t>
  </si>
  <si>
    <t>Classified Grounds Staff (Note B)</t>
  </si>
  <si>
    <t>Grounds Person</t>
  </si>
  <si>
    <t>1 FTE Per 10 Developed Acres</t>
  </si>
  <si>
    <t>1 FTE Per 50 Undeveloped Acres</t>
  </si>
  <si>
    <t>Athletic Field Caretaker</t>
  </si>
  <si>
    <t>1 FTE Per 10 Athletic Field Acres</t>
  </si>
  <si>
    <t>Swimming Pool Caretaker</t>
  </si>
  <si>
    <t>1 FTE Per Pool</t>
  </si>
  <si>
    <t>Parking Structure Caretaker (Grounds Person)</t>
  </si>
  <si>
    <t>1 FTE Per 450,000 GSF</t>
  </si>
  <si>
    <t>Classified Trades Staff</t>
  </si>
  <si>
    <t>Maintenance Mechanic</t>
  </si>
  <si>
    <t>1 FTE Per 50,000 GSF</t>
  </si>
  <si>
    <t>Maintenance Helper</t>
  </si>
  <si>
    <t>1 FTE Per Campus (+ one additional FTE after 175,000 GSF)</t>
  </si>
  <si>
    <t>Total Staff</t>
  </si>
  <si>
    <t>Notes:</t>
  </si>
  <si>
    <t>A</t>
  </si>
  <si>
    <r>
      <t>Custodial staff includes Sr. Custodians; Custodians; Floor Care Personnel; Gym Attendants; Large Campus Factor</t>
    </r>
    <r>
      <rPr>
        <sz val="10"/>
        <color indexed="60"/>
        <rFont val="Times New Roman"/>
        <family val="1"/>
      </rPr>
      <t xml:space="preserve"> (500K GSF includes 3.0 Custodians for Day Time Services and Set-Ups)</t>
    </r>
  </si>
  <si>
    <t>Metrics</t>
  </si>
  <si>
    <t>ASF (per FUSION 12-2013)</t>
  </si>
  <si>
    <t>GSF (Note E)</t>
  </si>
  <si>
    <t>B</t>
  </si>
  <si>
    <t>Grounds staff includes Sr. Grounds Person; Irrigation Repair Person; Equipment Repair Persons</t>
  </si>
  <si>
    <t>Developed Acres</t>
  </si>
  <si>
    <t>Undeveloped Acres</t>
  </si>
  <si>
    <t>Athletic Field Acres</t>
  </si>
  <si>
    <t>C</t>
  </si>
  <si>
    <t>This Position is to be a Working Manager</t>
  </si>
  <si>
    <t xml:space="preserve">Total Acres </t>
  </si>
  <si>
    <t>D</t>
  </si>
  <si>
    <t>This Position is to be a Working Manager providing supervision to the night time staff</t>
  </si>
  <si>
    <t>E</t>
  </si>
  <si>
    <t xml:space="preserve">This does not include 450,000 GSF in the Parking Structure Riverside.  </t>
  </si>
  <si>
    <t>District Offices</t>
  </si>
  <si>
    <t>#</t>
  </si>
  <si>
    <t>Bldg</t>
  </si>
  <si>
    <t>GSF</t>
  </si>
  <si>
    <t>LIBRARY</t>
  </si>
  <si>
    <t>STUDENT SERVICES</t>
  </si>
  <si>
    <t>SPRUCE DISTR OFFICE</t>
  </si>
  <si>
    <t>DISPATCH</t>
  </si>
  <si>
    <t>SCIENCE/TECHNOLOGY</t>
  </si>
  <si>
    <t>DATA PROCESSING</t>
  </si>
  <si>
    <t>LIONS DEN</t>
  </si>
  <si>
    <t>HUMANITIES</t>
  </si>
  <si>
    <t>WAREHOUSE ANN B</t>
  </si>
  <si>
    <t>MECHANICAL</t>
  </si>
  <si>
    <t>COLLEGE HOUSE</t>
  </si>
  <si>
    <t>NORTH HALL</t>
  </si>
  <si>
    <t>MECHANICAL-2</t>
  </si>
  <si>
    <t>ALUNI HOUSE</t>
  </si>
  <si>
    <t>BOOKSTORE</t>
  </si>
  <si>
    <t>OFFICE ECON DEV</t>
  </si>
  <si>
    <t>ADMINISTRATIVE ANNEX</t>
  </si>
  <si>
    <t>MULTI-PURPOSE</t>
  </si>
  <si>
    <t>STUDENT ACTIVITY CENTER</t>
  </si>
  <si>
    <t>WAREHOUSE</t>
  </si>
  <si>
    <t>E.C.E.</t>
  </si>
  <si>
    <t>Adjustments</t>
  </si>
  <si>
    <t>PSC/PORTABLE-1</t>
  </si>
  <si>
    <t>PSC/PORTABLE-2</t>
  </si>
  <si>
    <t>PSC/PORTABLE-3</t>
  </si>
  <si>
    <t>Adjusted Total</t>
  </si>
  <si>
    <t>PSC 4</t>
  </si>
  <si>
    <t>PSC 6</t>
  </si>
  <si>
    <t>PSC 7</t>
  </si>
  <si>
    <t>PSC 8</t>
  </si>
  <si>
    <t>PSC 9</t>
  </si>
  <si>
    <t>PSC 10</t>
  </si>
  <si>
    <t>PSC 11</t>
  </si>
  <si>
    <t>PSC 12</t>
  </si>
  <si>
    <t>PSC 13</t>
  </si>
  <si>
    <t>PSC 14</t>
  </si>
  <si>
    <t>PSC 15</t>
  </si>
  <si>
    <t>PSC 16</t>
  </si>
  <si>
    <t>PSC 17</t>
  </si>
  <si>
    <t>PSC 18</t>
  </si>
  <si>
    <t>PSC 20</t>
  </si>
  <si>
    <t>PORTABLE 5</t>
  </si>
  <si>
    <t>PSC 21</t>
  </si>
  <si>
    <t>PSC 22</t>
  </si>
  <si>
    <t>PSC 23</t>
  </si>
  <si>
    <t>PSC 5 RR</t>
  </si>
  <si>
    <t>PSC 19 RR</t>
  </si>
  <si>
    <t>GROUNDS EQUIPMENT</t>
  </si>
  <si>
    <t>DENTAL ED CENTER A</t>
  </si>
  <si>
    <t>DENTAL ED CENTER B</t>
  </si>
  <si>
    <t>DENTAL ED CENTER C</t>
  </si>
  <si>
    <t>SAS</t>
  </si>
  <si>
    <t>Remove Parking Structure</t>
  </si>
  <si>
    <t>H&amp;W*</t>
  </si>
  <si>
    <t>H-6</t>
  </si>
  <si>
    <t>Medi</t>
  </si>
  <si>
    <t>WC</t>
  </si>
  <si>
    <t>TCP</t>
  </si>
  <si>
    <t>Hourly Rate @ 3/3</t>
  </si>
  <si>
    <t>Hours for 3 Unit Class</t>
  </si>
  <si>
    <t>Hourly Rate @ 1/1 (Unit Pay)</t>
  </si>
  <si>
    <t>Units</t>
  </si>
  <si>
    <t>Salary Per 3 Unit Class (.2 FTE)</t>
  </si>
  <si>
    <t>Salary for 2.0 FTEs</t>
  </si>
  <si>
    <t>H&amp;W</t>
  </si>
  <si>
    <t>Total Cost of Ownership</t>
  </si>
  <si>
    <t>Initial Cost</t>
  </si>
  <si>
    <t>Maintenance Contract/Warranty/Software License cost:</t>
  </si>
  <si>
    <t>Installation cost:</t>
  </si>
  <si>
    <t>Total Initial Cost:</t>
  </si>
  <si>
    <t>Additional Component(s) cost:</t>
  </si>
  <si>
    <t>Software Training cost:</t>
  </si>
  <si>
    <t>Total Operating Cost:</t>
  </si>
  <si>
    <t>Estimated Cost for future Upgrade/Replacement (for Entire Life-Cycle):</t>
  </si>
  <si>
    <t>Estimated Cost for Annual Maintenance Contract/Repairs (for Entire Life-Cycle):</t>
  </si>
  <si>
    <t>Initial Cost + Operating Cost = Total Cost of Ownership:</t>
  </si>
  <si>
    <r>
      <rPr>
        <sz val="10"/>
        <rFont val="Arial"/>
        <family val="2"/>
      </rPr>
      <t>Academic Evaluations Specialist</t>
    </r>
  </si>
  <si>
    <r>
      <rPr>
        <sz val="10"/>
        <rFont val="Arial"/>
        <family val="2"/>
      </rPr>
      <t>K</t>
    </r>
  </si>
  <si>
    <r>
      <rPr>
        <sz val="10"/>
        <rFont val="Arial"/>
        <family val="2"/>
      </rPr>
      <t>Accounting Clerk</t>
    </r>
  </si>
  <si>
    <r>
      <rPr>
        <sz val="10"/>
        <rFont val="Arial"/>
        <family val="2"/>
      </rPr>
      <t>E</t>
    </r>
  </si>
  <si>
    <r>
      <rPr>
        <sz val="10"/>
        <rFont val="Arial"/>
        <family val="2"/>
      </rPr>
      <t>Accounting Services Clerk</t>
    </r>
  </si>
  <si>
    <r>
      <rPr>
        <sz val="10"/>
        <rFont val="Arial"/>
        <family val="2"/>
      </rPr>
      <t>Accounting Technician</t>
    </r>
  </si>
  <si>
    <r>
      <rPr>
        <sz val="10"/>
        <rFont val="Arial"/>
        <family val="2"/>
      </rPr>
      <t>N</t>
    </r>
  </si>
  <si>
    <r>
      <rPr>
        <sz val="10"/>
        <rFont val="Arial"/>
        <family val="2"/>
      </rPr>
      <t>G</t>
    </r>
  </si>
  <si>
    <r>
      <rPr>
        <sz val="10"/>
        <rFont val="Arial"/>
        <family val="2"/>
      </rPr>
      <t>I</t>
    </r>
  </si>
  <si>
    <r>
      <rPr>
        <sz val="10"/>
        <rFont val="Arial"/>
        <family val="2"/>
      </rPr>
      <t>Adaptive Technology Specialist</t>
    </r>
  </si>
  <si>
    <r>
      <rPr>
        <sz val="10"/>
        <rFont val="Arial"/>
        <family val="2"/>
      </rPr>
      <t>L</t>
    </r>
  </si>
  <si>
    <r>
      <rPr>
        <sz val="10"/>
        <rFont val="Arial"/>
        <family val="2"/>
      </rPr>
      <t>Adaptive Technology-Alternative Media Support Coordinator</t>
    </r>
  </si>
  <si>
    <r>
      <rPr>
        <sz val="10"/>
        <rFont val="Arial"/>
        <family val="2"/>
      </rPr>
      <t>O</t>
    </r>
  </si>
  <si>
    <r>
      <rPr>
        <sz val="10"/>
        <rFont val="Arial"/>
        <family val="2"/>
      </rPr>
      <t>Administrative Assistant I</t>
    </r>
  </si>
  <si>
    <r>
      <rPr>
        <sz val="10"/>
        <rFont val="Arial"/>
        <family val="2"/>
      </rPr>
      <t>Administrative Assistant II</t>
    </r>
  </si>
  <si>
    <r>
      <rPr>
        <sz val="10"/>
        <rFont val="Arial"/>
        <family val="2"/>
      </rPr>
      <t>Administrative Assistant III</t>
    </r>
  </si>
  <si>
    <r>
      <rPr>
        <sz val="10"/>
        <rFont val="Arial"/>
        <family val="2"/>
      </rPr>
      <t>Administrative Assistant IV</t>
    </r>
  </si>
  <si>
    <r>
      <rPr>
        <sz val="10"/>
        <rFont val="Arial"/>
        <family val="2"/>
      </rPr>
      <t>Admissions and Records Operations Assistant</t>
    </r>
  </si>
  <si>
    <r>
      <rPr>
        <sz val="10"/>
        <rFont val="Arial"/>
        <family val="2"/>
      </rPr>
      <t>C</t>
    </r>
  </si>
  <si>
    <r>
      <rPr>
        <sz val="10"/>
        <rFont val="Arial"/>
        <family val="2"/>
      </rPr>
      <t>Analyst/Programmer</t>
    </r>
  </si>
  <si>
    <r>
      <rPr>
        <sz val="10"/>
        <rFont val="Arial"/>
        <family val="2"/>
      </rPr>
      <t>S (P)</t>
    </r>
  </si>
  <si>
    <r>
      <rPr>
        <sz val="10"/>
        <rFont val="Arial"/>
        <family val="2"/>
      </rPr>
      <t>Applications Support Technician</t>
    </r>
  </si>
  <si>
    <r>
      <rPr>
        <sz val="10"/>
        <rFont val="Arial"/>
        <family val="2"/>
      </rPr>
      <t>N (M)</t>
    </r>
  </si>
  <si>
    <r>
      <rPr>
        <sz val="10"/>
        <rFont val="Arial"/>
        <family val="2"/>
      </rPr>
      <t>Art Gallery Coordinator/Curator</t>
    </r>
  </si>
  <si>
    <r>
      <rPr>
        <sz val="10"/>
        <rFont val="Arial"/>
        <family val="2"/>
      </rPr>
      <t>Assessment Specialist</t>
    </r>
  </si>
  <si>
    <r>
      <rPr>
        <sz val="10"/>
        <rFont val="Arial"/>
        <family val="2"/>
      </rPr>
      <t>M</t>
    </r>
  </si>
  <si>
    <r>
      <rPr>
        <sz val="10"/>
        <rFont val="Arial"/>
        <family val="2"/>
      </rPr>
      <t>Assessment Testing Coordinator</t>
    </r>
  </si>
  <si>
    <r>
      <rPr>
        <sz val="10"/>
        <rFont val="Arial"/>
        <family val="2"/>
      </rPr>
      <t>R</t>
    </r>
  </si>
  <si>
    <r>
      <rPr>
        <sz val="10"/>
        <rFont val="Arial"/>
        <family val="2"/>
      </rPr>
      <t>Assistant Cashier/Clerk</t>
    </r>
  </si>
  <si>
    <r>
      <rPr>
        <sz val="10"/>
        <rFont val="Arial"/>
        <family val="2"/>
      </rPr>
      <t>Assistant to Coordinator, Upward Bound</t>
    </r>
  </si>
  <si>
    <r>
      <rPr>
        <sz val="10"/>
        <rFont val="Arial"/>
        <family val="2"/>
      </rPr>
      <t>Athletic Equipment Manager</t>
    </r>
  </si>
  <si>
    <r>
      <rPr>
        <sz val="10"/>
        <rFont val="Arial"/>
        <family val="2"/>
      </rPr>
      <t>Athletic Field Caretaker</t>
    </r>
  </si>
  <si>
    <r>
      <rPr>
        <sz val="10"/>
        <rFont val="Arial"/>
        <family val="2"/>
      </rPr>
      <t>F</t>
    </r>
  </si>
  <si>
    <r>
      <rPr>
        <sz val="10"/>
        <rFont val="Arial"/>
        <family val="2"/>
      </rPr>
      <t>Auditorium Specialist</t>
    </r>
  </si>
  <si>
    <r>
      <rPr>
        <sz val="10"/>
        <rFont val="Arial"/>
        <family val="2"/>
      </rPr>
      <t>Auxiliary Business Services Bookkeeper</t>
    </r>
  </si>
  <si>
    <r>
      <rPr>
        <sz val="10"/>
        <rFont val="Arial"/>
        <family val="2"/>
      </rPr>
      <t>Auxiliary Business Services Clerk</t>
    </r>
  </si>
  <si>
    <r>
      <rPr>
        <sz val="10"/>
        <rFont val="Arial"/>
        <family val="2"/>
      </rPr>
      <t>Auxiliary Business Services Specialist</t>
    </r>
  </si>
  <si>
    <r>
      <rPr>
        <sz val="10"/>
        <rFont val="Arial"/>
        <family val="2"/>
      </rPr>
      <t>H</t>
    </r>
  </si>
  <si>
    <r>
      <rPr>
        <sz val="10"/>
        <rFont val="Arial"/>
        <family val="2"/>
      </rPr>
      <t>Background Investigator</t>
    </r>
  </si>
  <si>
    <r>
      <rPr>
        <sz val="10"/>
        <rFont val="Arial"/>
        <family val="2"/>
      </rPr>
      <t>Budget Analyst</t>
    </r>
  </si>
  <si>
    <r>
      <rPr>
        <sz val="10"/>
        <rFont val="Arial"/>
        <family val="2"/>
      </rPr>
      <t>Business Development Administrative Specialist</t>
    </r>
  </si>
  <si>
    <r>
      <rPr>
        <sz val="10"/>
        <rFont val="Arial"/>
        <family val="2"/>
      </rPr>
      <t>Business Development Assistant</t>
    </r>
  </si>
  <si>
    <r>
      <rPr>
        <sz val="10"/>
        <rFont val="Arial"/>
        <family val="2"/>
      </rPr>
      <t>Business Systems Analyst</t>
    </r>
  </si>
  <si>
    <r>
      <rPr>
        <sz val="10"/>
        <rFont val="Arial"/>
        <family val="2"/>
      </rPr>
      <t>Cablecast/Satellite Specialist</t>
    </r>
  </si>
  <si>
    <r>
      <rPr>
        <sz val="10"/>
        <rFont val="Arial"/>
        <family val="2"/>
      </rPr>
      <t>Capital Asset Inventory Technician</t>
    </r>
  </si>
  <si>
    <r>
      <rPr>
        <sz val="10"/>
        <rFont val="Arial"/>
        <family val="2"/>
      </rPr>
      <t>P</t>
    </r>
  </si>
  <si>
    <r>
      <rPr>
        <sz val="10"/>
        <rFont val="Arial"/>
        <family val="2"/>
      </rPr>
      <t>Cashier/Clerk</t>
    </r>
  </si>
  <si>
    <r>
      <rPr>
        <sz val="10"/>
        <rFont val="Arial"/>
        <family val="2"/>
      </rPr>
      <t>Cellular Account Clerk</t>
    </r>
  </si>
  <si>
    <r>
      <rPr>
        <sz val="10"/>
        <rFont val="Arial"/>
        <family val="2"/>
      </rPr>
      <t>Certified Athletic Trainer</t>
    </r>
  </si>
  <si>
    <r>
      <rPr>
        <sz val="10"/>
        <rFont val="Arial"/>
        <family val="2"/>
      </rPr>
      <t>Chemistry Laboratory Coordinator</t>
    </r>
  </si>
  <si>
    <r>
      <rPr>
        <sz val="10"/>
        <rFont val="Arial"/>
        <family val="2"/>
      </rPr>
      <t>Chief Photographer</t>
    </r>
  </si>
  <si>
    <r>
      <rPr>
        <sz val="10"/>
        <rFont val="Arial"/>
        <family val="2"/>
      </rPr>
      <t>J</t>
    </r>
  </si>
  <si>
    <r>
      <rPr>
        <sz val="10"/>
        <rFont val="Arial"/>
        <family val="2"/>
      </rPr>
      <t>Clerk Typist</t>
    </r>
  </si>
  <si>
    <r>
      <rPr>
        <sz val="10"/>
        <rFont val="Arial"/>
        <family val="2"/>
      </rPr>
      <t>College Receptionist</t>
    </r>
  </si>
  <si>
    <r>
      <rPr>
        <sz val="10"/>
        <rFont val="Arial"/>
        <family val="2"/>
      </rPr>
      <t>College Safety &amp; Police Dispatch</t>
    </r>
  </si>
  <si>
    <r>
      <rPr>
        <sz val="10"/>
        <rFont val="Arial"/>
        <family val="2"/>
      </rPr>
      <t>Community Education Clerk</t>
    </r>
  </si>
  <si>
    <r>
      <rPr>
        <sz val="10"/>
        <rFont val="Arial"/>
        <family val="2"/>
      </rPr>
      <t>Community Relations Specialist</t>
    </r>
  </si>
  <si>
    <r>
      <rPr>
        <sz val="10"/>
        <rFont val="Arial"/>
        <family val="2"/>
      </rPr>
      <t>Community Service Aide I</t>
    </r>
  </si>
  <si>
    <r>
      <rPr>
        <sz val="10"/>
        <rFont val="Arial"/>
        <family val="2"/>
      </rPr>
      <t>Community Service Coordinator</t>
    </r>
  </si>
  <si>
    <r>
      <rPr>
        <sz val="10"/>
        <rFont val="Arial"/>
        <family val="2"/>
      </rPr>
      <t>Computer Laboratory Assistant</t>
    </r>
  </si>
  <si>
    <r>
      <rPr>
        <sz val="10"/>
        <rFont val="Arial"/>
        <family val="2"/>
      </rPr>
      <t>Computer Laboratory Specialist</t>
    </r>
  </si>
  <si>
    <r>
      <rPr>
        <sz val="10"/>
        <rFont val="Arial"/>
        <family val="2"/>
      </rPr>
      <t>Computer Technician</t>
    </r>
  </si>
  <si>
    <r>
      <rPr>
        <sz val="10"/>
        <rFont val="Arial"/>
        <family val="2"/>
      </rPr>
      <t>Copy Center Operator</t>
    </r>
  </si>
  <si>
    <r>
      <rPr>
        <sz val="10"/>
        <rFont val="Arial"/>
        <family val="2"/>
      </rPr>
      <t>Cosmetology Clerk</t>
    </r>
  </si>
  <si>
    <r>
      <rPr>
        <sz val="10"/>
        <rFont val="Arial"/>
        <family val="2"/>
      </rPr>
      <t>Cosmetology Operations Assistant</t>
    </r>
  </si>
  <si>
    <r>
      <rPr>
        <sz val="10"/>
        <rFont val="Arial"/>
        <family val="2"/>
      </rPr>
      <t>Cosmetology Receptionist/Cashier</t>
    </r>
  </si>
  <si>
    <r>
      <rPr>
        <sz val="10"/>
        <rFont val="Arial"/>
        <family val="2"/>
      </rPr>
      <t>Counseling Clerk I</t>
    </r>
  </si>
  <si>
    <r>
      <rPr>
        <sz val="10"/>
        <rFont val="Arial"/>
        <family val="2"/>
      </rPr>
      <t>Counseling Clerk II</t>
    </r>
  </si>
  <si>
    <r>
      <rPr>
        <sz val="10"/>
        <rFont val="Arial"/>
        <family val="2"/>
      </rPr>
      <t>Counseling Clerk III</t>
    </r>
  </si>
  <si>
    <r>
      <rPr>
        <sz val="10"/>
        <rFont val="Arial"/>
        <family val="2"/>
      </rPr>
      <t>Culinary Laboratory Assistant</t>
    </r>
  </si>
  <si>
    <r>
      <rPr>
        <sz val="10"/>
        <rFont val="Arial"/>
        <family val="2"/>
      </rPr>
      <t>Culinary Program Specialist</t>
    </r>
  </si>
  <si>
    <r>
      <rPr>
        <sz val="10"/>
        <rFont val="Arial"/>
        <family val="2"/>
      </rPr>
      <t>Custodian</t>
    </r>
  </si>
  <si>
    <r>
      <rPr>
        <sz val="10"/>
        <rFont val="Arial"/>
        <family val="2"/>
      </rPr>
      <t>Dance Accompanist</t>
    </r>
  </si>
  <si>
    <r>
      <rPr>
        <sz val="10"/>
        <rFont val="Arial"/>
        <family val="2"/>
      </rPr>
      <t>Designer Technical Director</t>
    </r>
  </si>
  <si>
    <r>
      <rPr>
        <sz val="10"/>
        <rFont val="Arial"/>
        <family val="2"/>
      </rPr>
      <t>Q</t>
    </r>
  </si>
  <si>
    <r>
      <rPr>
        <sz val="10"/>
        <rFont val="Arial"/>
        <family val="2"/>
      </rPr>
      <t>Disabled Student Services Specialist</t>
    </r>
  </si>
  <si>
    <r>
      <rPr>
        <sz val="10"/>
        <rFont val="Arial"/>
        <family val="2"/>
      </rPr>
      <t>Distance Education Support Specialist</t>
    </r>
  </si>
  <si>
    <r>
      <rPr>
        <sz val="10"/>
        <rFont val="Arial"/>
        <family val="2"/>
      </rPr>
      <t>District Campaign Specialist</t>
    </r>
  </si>
  <si>
    <r>
      <rPr>
        <sz val="10"/>
        <rFont val="Arial"/>
        <family val="2"/>
      </rPr>
      <t>Document Services Coordinator</t>
    </r>
  </si>
  <si>
    <r>
      <rPr>
        <sz val="10"/>
        <rFont val="Arial"/>
        <family val="2"/>
      </rPr>
      <t>Document Services Coordinator (Evening)</t>
    </r>
  </si>
  <si>
    <r>
      <rPr>
        <sz val="10"/>
        <rFont val="Arial"/>
        <family val="2"/>
      </rPr>
      <t>Document Services Technician</t>
    </r>
  </si>
  <si>
    <r>
      <rPr>
        <sz val="10"/>
        <rFont val="Arial"/>
        <family val="2"/>
      </rPr>
      <t>Economic Development Assistant</t>
    </r>
  </si>
  <si>
    <r>
      <rPr>
        <sz val="10"/>
        <rFont val="Arial"/>
        <family val="2"/>
      </rPr>
      <t>Educational Advisor</t>
    </r>
  </si>
  <si>
    <r>
      <rPr>
        <sz val="10"/>
        <rFont val="Arial"/>
        <family val="2"/>
      </rPr>
      <t>Educational Technologies Trainer</t>
    </r>
  </si>
  <si>
    <r>
      <rPr>
        <sz val="10"/>
        <rFont val="Arial"/>
        <family val="2"/>
      </rPr>
      <t>Emancipation Coach</t>
    </r>
  </si>
  <si>
    <r>
      <rPr>
        <sz val="10"/>
        <rFont val="Arial"/>
        <family val="2"/>
      </rPr>
      <t>Employment Placement Coordinator</t>
    </r>
  </si>
  <si>
    <r>
      <rPr>
        <sz val="10"/>
        <rFont val="Arial"/>
        <family val="2"/>
      </rPr>
      <t>Enrollment Services Assistant</t>
    </r>
  </si>
  <si>
    <r>
      <rPr>
        <sz val="10"/>
        <rFont val="Arial"/>
        <family val="2"/>
      </rPr>
      <t>EOPS Specialist</t>
    </r>
  </si>
  <si>
    <r>
      <rPr>
        <sz val="10"/>
        <rFont val="Arial"/>
        <family val="2"/>
      </rPr>
      <t>EOPS/CARE Specialist</t>
    </r>
  </si>
  <si>
    <r>
      <rPr>
        <sz val="10"/>
        <rFont val="Arial"/>
        <family val="2"/>
      </rPr>
      <t>Facilities Planning Specialist/Accounting</t>
    </r>
  </si>
  <si>
    <r>
      <rPr>
        <sz val="10"/>
        <rFont val="Arial"/>
        <family val="2"/>
      </rPr>
      <t>Facilities Planning Specialist/Support Services</t>
    </r>
  </si>
  <si>
    <r>
      <rPr>
        <sz val="10"/>
        <rFont val="Arial"/>
        <family val="2"/>
      </rPr>
      <t>Facilities Utilization Specialist</t>
    </r>
  </si>
  <si>
    <r>
      <rPr>
        <sz val="10"/>
        <rFont val="Arial"/>
        <family val="2"/>
      </rPr>
      <t>Financial Aid Advisor</t>
    </r>
  </si>
  <si>
    <r>
      <rPr>
        <sz val="10"/>
        <rFont val="Arial"/>
        <family val="2"/>
      </rPr>
      <t>Fire Technology Program Assistant</t>
    </r>
  </si>
  <si>
    <r>
      <rPr>
        <sz val="10"/>
        <rFont val="Arial"/>
        <family val="2"/>
      </rPr>
      <t>Floor Crew</t>
    </r>
  </si>
  <si>
    <r>
      <rPr>
        <sz val="10"/>
        <rFont val="Arial"/>
        <family val="2"/>
      </rPr>
      <t>Food Service III</t>
    </r>
  </si>
  <si>
    <r>
      <rPr>
        <sz val="10"/>
        <rFont val="Arial"/>
        <family val="2"/>
      </rPr>
      <t>Food Service IV</t>
    </r>
  </si>
  <si>
    <r>
      <rPr>
        <sz val="10"/>
        <rFont val="Arial"/>
        <family val="2"/>
      </rPr>
      <t>Foundation Specialist</t>
    </r>
  </si>
  <si>
    <r>
      <rPr>
        <sz val="10"/>
        <rFont val="Arial"/>
        <family val="2"/>
      </rPr>
      <t>Grants Administrative Specialist</t>
    </r>
  </si>
  <si>
    <r>
      <rPr>
        <sz val="10"/>
        <rFont val="Arial"/>
        <family val="2"/>
      </rPr>
      <t>Grants Specialist</t>
    </r>
  </si>
  <si>
    <r>
      <rPr>
        <sz val="10"/>
        <rFont val="Arial"/>
        <family val="2"/>
      </rPr>
      <t>Grants Writer</t>
    </r>
  </si>
  <si>
    <r>
      <rPr>
        <sz val="10"/>
        <rFont val="Arial"/>
        <family val="2"/>
      </rPr>
      <t>Grounds Equipment Repairperson/Operator</t>
    </r>
  </si>
  <si>
    <r>
      <rPr>
        <sz val="10"/>
        <rFont val="Arial"/>
        <family val="2"/>
      </rPr>
      <t>Groundsperson</t>
    </r>
  </si>
  <si>
    <r>
      <rPr>
        <sz val="10"/>
        <rFont val="Arial"/>
        <family val="2"/>
      </rPr>
      <t>Gymnasium Attendant</t>
    </r>
  </si>
  <si>
    <r>
      <rPr>
        <sz val="10"/>
        <rFont val="Arial"/>
        <family val="2"/>
      </rPr>
      <t>Health Services Specialist</t>
    </r>
  </si>
  <si>
    <r>
      <rPr>
        <sz val="10"/>
        <rFont val="Arial"/>
        <family val="2"/>
      </rPr>
      <t>Help Desk Support Technician</t>
    </r>
  </si>
  <si>
    <r>
      <rPr>
        <sz val="10"/>
        <rFont val="Arial"/>
        <family val="2"/>
      </rPr>
      <t>Information Support/Operator</t>
    </r>
  </si>
  <si>
    <r>
      <rPr>
        <sz val="10"/>
        <rFont val="Arial"/>
        <family val="2"/>
      </rPr>
      <t>Information Technology Analyst</t>
    </r>
  </si>
  <si>
    <r>
      <rPr>
        <sz val="10"/>
        <rFont val="Arial"/>
        <family val="2"/>
      </rPr>
      <t>Institutional Research Specialist</t>
    </r>
  </si>
  <si>
    <r>
      <rPr>
        <sz val="10"/>
        <rFont val="Arial"/>
        <family val="2"/>
      </rPr>
      <t>Instructional Department Specialist</t>
    </r>
  </si>
  <si>
    <r>
      <rPr>
        <sz val="10"/>
        <rFont val="Arial"/>
        <family val="2"/>
      </rPr>
      <t>Instructional Department Specialist/Senior Citizen Education Program Coordinator</t>
    </r>
  </si>
  <si>
    <r>
      <rPr>
        <sz val="10"/>
        <rFont val="Arial"/>
        <family val="2"/>
      </rPr>
      <t>Instructional Media Aide</t>
    </r>
  </si>
  <si>
    <r>
      <rPr>
        <sz val="10"/>
        <rFont val="Arial"/>
        <family val="2"/>
      </rPr>
      <t>D</t>
    </r>
  </si>
  <si>
    <r>
      <rPr>
        <sz val="10"/>
        <rFont val="Arial"/>
        <family val="2"/>
      </rPr>
      <t>Instructional Media Assistant</t>
    </r>
  </si>
  <si>
    <r>
      <rPr>
        <sz val="10"/>
        <rFont val="Arial"/>
        <family val="2"/>
      </rPr>
      <t>Instructional Media Support Coordinator</t>
    </r>
  </si>
  <si>
    <r>
      <rPr>
        <sz val="10"/>
        <rFont val="Arial"/>
        <family val="2"/>
      </rPr>
      <t>Instructional Media Technician</t>
    </r>
  </si>
  <si>
    <r>
      <rPr>
        <sz val="10"/>
        <rFont val="Arial"/>
        <family val="2"/>
      </rPr>
      <t>Instructional Media/Broadcast Coordinator</t>
    </r>
  </si>
  <si>
    <r>
      <rPr>
        <sz val="10"/>
        <rFont val="Arial"/>
        <family val="2"/>
      </rPr>
      <t>Instructional Media/Broadcast Technician</t>
    </r>
  </si>
  <si>
    <r>
      <rPr>
        <sz val="10"/>
        <rFont val="Arial"/>
        <family val="2"/>
      </rPr>
      <t>Instructional Production Specialist</t>
    </r>
  </si>
  <si>
    <r>
      <rPr>
        <sz val="10"/>
        <rFont val="Arial"/>
        <family val="2"/>
      </rPr>
      <t>Instructional Program Support Coordinator</t>
    </r>
  </si>
  <si>
    <r>
      <rPr>
        <sz val="10"/>
        <rFont val="Arial"/>
        <family val="2"/>
      </rPr>
      <t>Instructional Support Coordinator</t>
    </r>
  </si>
  <si>
    <r>
      <rPr>
        <sz val="10"/>
        <rFont val="Arial"/>
        <family val="2"/>
      </rPr>
      <t>Instructional Support Specialist</t>
    </r>
  </si>
  <si>
    <r>
      <rPr>
        <sz val="10"/>
        <rFont val="Arial"/>
        <family val="2"/>
      </rPr>
      <t>Instructional Technology Specialist</t>
    </r>
  </si>
  <si>
    <r>
      <rPr>
        <sz val="10"/>
        <rFont val="Arial"/>
        <family val="2"/>
      </rPr>
      <t>International Students &amp; Program Specialist</t>
    </r>
  </si>
  <si>
    <r>
      <rPr>
        <sz val="10"/>
        <rFont val="Arial"/>
        <family val="2"/>
      </rPr>
      <t>Internet Communications Specialist</t>
    </r>
  </si>
  <si>
    <r>
      <rPr>
        <sz val="10"/>
        <rFont val="Arial"/>
        <family val="2"/>
      </rPr>
      <t>Interpreter Specialist</t>
    </r>
  </si>
  <si>
    <r>
      <rPr>
        <sz val="10"/>
        <rFont val="Arial"/>
        <family val="2"/>
      </rPr>
      <t>Job Placement Technician</t>
    </r>
  </si>
  <si>
    <r>
      <rPr>
        <sz val="10"/>
        <rFont val="Arial"/>
        <family val="2"/>
      </rPr>
      <t>Journalism Program Support Specialist</t>
    </r>
  </si>
  <si>
    <r>
      <rPr>
        <sz val="10"/>
        <rFont val="Arial"/>
        <family val="2"/>
      </rPr>
      <t>Laboratory Technician I</t>
    </r>
  </si>
  <si>
    <r>
      <rPr>
        <sz val="10"/>
        <rFont val="Arial"/>
        <family val="2"/>
      </rPr>
      <t>Laboratory Technician II</t>
    </r>
  </si>
  <si>
    <r>
      <rPr>
        <sz val="10"/>
        <rFont val="Arial"/>
        <family val="2"/>
      </rPr>
      <t>Learning Center Assistant</t>
    </r>
  </si>
  <si>
    <r>
      <rPr>
        <sz val="10"/>
        <rFont val="Arial"/>
        <family val="2"/>
      </rPr>
      <t>A</t>
    </r>
  </si>
  <si>
    <r>
      <rPr>
        <sz val="10"/>
        <rFont val="Arial"/>
        <family val="2"/>
      </rPr>
      <t>Library Catalog Clerk</t>
    </r>
  </si>
  <si>
    <r>
      <rPr>
        <sz val="10"/>
        <rFont val="Arial"/>
        <family val="2"/>
      </rPr>
      <t>Library Clerk I</t>
    </r>
  </si>
  <si>
    <r>
      <rPr>
        <sz val="10"/>
        <rFont val="Arial"/>
        <family val="2"/>
      </rPr>
      <t>Library Clerk II</t>
    </r>
  </si>
  <si>
    <r>
      <rPr>
        <sz val="10"/>
        <rFont val="Arial"/>
        <family val="2"/>
      </rPr>
      <t>Library Operations Assistant</t>
    </r>
  </si>
  <si>
    <r>
      <rPr>
        <sz val="10"/>
        <rFont val="Arial"/>
        <family val="2"/>
      </rPr>
      <t>Library Systems Coordinator</t>
    </r>
  </si>
  <si>
    <r>
      <rPr>
        <sz val="10"/>
        <rFont val="Arial"/>
        <family val="2"/>
      </rPr>
      <t>Library Systems/Network Coordinator</t>
    </r>
  </si>
  <si>
    <r>
      <rPr>
        <sz val="10"/>
        <rFont val="Arial"/>
        <family val="2"/>
      </rPr>
      <t>Library Technical Assistant I</t>
    </r>
  </si>
  <si>
    <r>
      <rPr>
        <sz val="10"/>
        <rFont val="Arial"/>
        <family val="2"/>
      </rPr>
      <t>Library Technical Assistant II</t>
    </r>
  </si>
  <si>
    <r>
      <rPr>
        <sz val="10"/>
        <rFont val="Arial"/>
        <family val="2"/>
      </rPr>
      <t>Library/IMC Operations Coordinator</t>
    </r>
  </si>
  <si>
    <r>
      <rPr>
        <sz val="10"/>
        <rFont val="Arial"/>
        <family val="2"/>
      </rPr>
      <t>Mailroom Coordinator</t>
    </r>
  </si>
  <si>
    <r>
      <rPr>
        <sz val="10"/>
        <rFont val="Arial"/>
        <family val="2"/>
      </rPr>
      <t>Maintenance Helper</t>
    </r>
  </si>
  <si>
    <r>
      <rPr>
        <sz val="10"/>
        <rFont val="Arial"/>
        <family val="2"/>
      </rPr>
      <t>Maintenance Mechanic</t>
    </r>
  </si>
  <si>
    <r>
      <rPr>
        <sz val="10"/>
        <rFont val="Arial"/>
        <family val="2"/>
      </rPr>
      <t>Maintenance Mechanic - Carpenter</t>
    </r>
  </si>
  <si>
    <r>
      <rPr>
        <sz val="10"/>
        <rFont val="Arial"/>
        <family val="2"/>
      </rPr>
      <t>Maintenance Mechanic - Electrician</t>
    </r>
  </si>
  <si>
    <r>
      <rPr>
        <sz val="10"/>
        <rFont val="Arial"/>
        <family val="2"/>
      </rPr>
      <t>Maintenance Mechanic - Equipment Repair</t>
    </r>
  </si>
  <si>
    <r>
      <rPr>
        <sz val="10"/>
        <rFont val="Arial"/>
        <family val="2"/>
      </rPr>
      <t>Maintenance Mechanic - General</t>
    </r>
  </si>
  <si>
    <r>
      <rPr>
        <sz val="10"/>
        <rFont val="Arial"/>
        <family val="2"/>
      </rPr>
      <t>Maintenance Mechanic - HVAC</t>
    </r>
  </si>
  <si>
    <r>
      <rPr>
        <sz val="10"/>
        <rFont val="Arial"/>
        <family val="2"/>
      </rPr>
      <t>Maintenance Mechanic - Locksmith</t>
    </r>
  </si>
  <si>
    <r>
      <rPr>
        <sz val="10"/>
        <rFont val="Arial"/>
        <family val="2"/>
      </rPr>
      <t>Maintenance Mechanic - Painter</t>
    </r>
  </si>
  <si>
    <r>
      <rPr>
        <sz val="10"/>
        <rFont val="Arial"/>
        <family val="2"/>
      </rPr>
      <t>Maintenance Mechanic - Plumber/Boiler Repair</t>
    </r>
  </si>
  <si>
    <r>
      <rPr>
        <sz val="10"/>
        <rFont val="Arial"/>
        <family val="2"/>
      </rPr>
      <t>Maintenance Mechanic - Specialty Electronics</t>
    </r>
  </si>
  <si>
    <r>
      <rPr>
        <sz val="10"/>
        <rFont val="Arial"/>
        <family val="2"/>
      </rPr>
      <t>Matriculation Specialist</t>
    </r>
  </si>
  <si>
    <r>
      <rPr>
        <sz val="10"/>
        <rFont val="Arial"/>
        <family val="2"/>
      </rPr>
      <t>Media Services Repair Technician</t>
    </r>
  </si>
  <si>
    <r>
      <rPr>
        <sz val="10"/>
        <rFont val="Arial"/>
        <family val="2"/>
      </rPr>
      <t>Medical Office Receptionist</t>
    </r>
  </si>
  <si>
    <r>
      <rPr>
        <sz val="10"/>
        <rFont val="Arial"/>
        <family val="2"/>
      </rPr>
      <t>Microcomputer Support Specialist</t>
    </r>
  </si>
  <si>
    <r>
      <rPr>
        <sz val="10"/>
        <rFont val="Arial"/>
        <family val="2"/>
      </rPr>
      <t>Microcomputer Support Technician</t>
    </r>
  </si>
  <si>
    <r>
      <rPr>
        <sz val="10"/>
        <rFont val="Arial"/>
        <family val="2"/>
      </rPr>
      <t>N (K)</t>
    </r>
  </si>
  <si>
    <r>
      <rPr>
        <sz val="10"/>
        <rFont val="Arial"/>
        <family val="2"/>
      </rPr>
      <t>Multi-Media Graphic Artist</t>
    </r>
  </si>
  <si>
    <r>
      <rPr>
        <sz val="10"/>
        <rFont val="Arial"/>
        <family val="2"/>
      </rPr>
      <t>Multi-Media Operations Specialist</t>
    </r>
  </si>
  <si>
    <r>
      <rPr>
        <sz val="10"/>
        <rFont val="Arial"/>
        <family val="2"/>
      </rPr>
      <t>Music Accompanist/Assistant</t>
    </r>
  </si>
  <si>
    <r>
      <rPr>
        <sz val="10"/>
        <rFont val="Arial"/>
        <family val="2"/>
      </rPr>
      <t>Music Specialist</t>
    </r>
  </si>
  <si>
    <r>
      <rPr>
        <sz val="10"/>
        <rFont val="Arial"/>
        <family val="2"/>
      </rPr>
      <t>Network &amp; Communications Specialist</t>
    </r>
  </si>
  <si>
    <r>
      <rPr>
        <sz val="10"/>
        <rFont val="Arial"/>
        <family val="2"/>
      </rPr>
      <t>Network Specialist</t>
    </r>
  </si>
  <si>
    <r>
      <rPr>
        <sz val="10"/>
        <rFont val="Arial"/>
        <family val="2"/>
      </rPr>
      <t>Network Specialist - Data Systems Security</t>
    </r>
  </si>
  <si>
    <r>
      <rPr>
        <sz val="10"/>
        <rFont val="Arial"/>
        <family val="2"/>
      </rPr>
      <t>Network Specialist - Infrastructure Management</t>
    </r>
  </si>
  <si>
    <r>
      <rPr>
        <sz val="10"/>
        <rFont val="Arial"/>
        <family val="2"/>
      </rPr>
      <t>Network Specialist (Data)</t>
    </r>
  </si>
  <si>
    <r>
      <rPr>
        <sz val="10"/>
        <rFont val="Arial"/>
        <family val="2"/>
      </rPr>
      <t>Network Specialist (Server Administrator)</t>
    </r>
  </si>
  <si>
    <r>
      <rPr>
        <sz val="10"/>
        <rFont val="Arial"/>
        <family val="2"/>
      </rPr>
      <t>Network Specialist (Telecommunications)</t>
    </r>
  </si>
  <si>
    <r>
      <rPr>
        <sz val="10"/>
        <rFont val="Arial"/>
        <family val="2"/>
      </rPr>
      <t>Network Specialist (Wireless LAN)</t>
    </r>
  </si>
  <si>
    <r>
      <rPr>
        <sz val="10"/>
        <rFont val="Arial"/>
        <family val="2"/>
      </rPr>
      <t>Network Support Specialist</t>
    </r>
  </si>
  <si>
    <r>
      <rPr>
        <sz val="10"/>
        <rFont val="Arial"/>
        <family val="2"/>
      </rPr>
      <t>Nursing Enrollment Evaluations Specialist</t>
    </r>
  </si>
  <si>
    <r>
      <rPr>
        <sz val="10"/>
        <rFont val="Arial"/>
        <family val="2"/>
      </rPr>
      <t>Nursing Enrollment Technician</t>
    </r>
  </si>
  <si>
    <r>
      <rPr>
        <sz val="10"/>
        <rFont val="Arial"/>
        <family val="2"/>
      </rPr>
      <t>Nursing Simulation Laboratory Assistant</t>
    </r>
  </si>
  <si>
    <r>
      <rPr>
        <sz val="10"/>
        <rFont val="Arial"/>
        <family val="2"/>
      </rPr>
      <t>Nursing Simulation Laboratory Specialist</t>
    </r>
  </si>
  <si>
    <r>
      <rPr>
        <sz val="10"/>
        <rFont val="Arial"/>
        <family val="2"/>
      </rPr>
      <t>Nursing Skills Laboratory Technician</t>
    </r>
  </si>
  <si>
    <r>
      <rPr>
        <sz val="10"/>
        <rFont val="Arial"/>
        <family val="2"/>
      </rPr>
      <t>Occupational Education Assistant</t>
    </r>
  </si>
  <si>
    <r>
      <rPr>
        <sz val="10"/>
        <rFont val="Arial"/>
        <family val="2"/>
      </rPr>
      <t>Officer, Safety &amp; Police</t>
    </r>
  </si>
  <si>
    <r>
      <rPr>
        <sz val="10"/>
        <rFont val="Arial"/>
        <family val="2"/>
      </rPr>
      <t>Outreach and Recruitment Services Specialist</t>
    </r>
  </si>
  <si>
    <r>
      <rPr>
        <sz val="10"/>
        <rFont val="Arial"/>
        <family val="2"/>
      </rPr>
      <t>Outreach Specialist</t>
    </r>
  </si>
  <si>
    <r>
      <rPr>
        <sz val="10"/>
        <rFont val="Arial"/>
        <family val="2"/>
      </rPr>
      <t>Outreach/Middle College High School Coordinator</t>
    </r>
  </si>
  <si>
    <r>
      <rPr>
        <sz val="10"/>
        <rFont val="Arial"/>
        <family val="2"/>
      </rPr>
      <t>Outreach/Passport to College Coordinator</t>
    </r>
  </si>
  <si>
    <r>
      <rPr>
        <sz val="10"/>
        <rFont val="Arial"/>
        <family val="2"/>
      </rPr>
      <t>Parking Administrative Clerk</t>
    </r>
  </si>
  <si>
    <r>
      <rPr>
        <sz val="10"/>
        <rFont val="Arial"/>
        <family val="2"/>
      </rPr>
      <t>Photo Lab Assistant</t>
    </r>
  </si>
  <si>
    <r>
      <rPr>
        <sz val="10"/>
        <rFont val="Arial"/>
        <family val="2"/>
      </rPr>
      <t>Piano Accompanist</t>
    </r>
  </si>
  <si>
    <r>
      <rPr>
        <sz val="10"/>
        <rFont val="Arial"/>
        <family val="2"/>
      </rPr>
      <t>Piano Accompanist (Music)</t>
    </r>
  </si>
  <si>
    <r>
      <rPr>
        <sz val="10"/>
        <rFont val="Arial"/>
        <family val="2"/>
      </rPr>
      <t>Piano Accompanist (Theater)</t>
    </r>
  </si>
  <si>
    <r>
      <rPr>
        <sz val="10"/>
        <rFont val="Arial"/>
        <family val="2"/>
      </rPr>
      <t>Police Records Clerk</t>
    </r>
  </si>
  <si>
    <r>
      <rPr>
        <sz val="10"/>
        <rFont val="Arial"/>
        <family val="2"/>
      </rPr>
      <t>Printing &amp; Graphics Center Coordinator</t>
    </r>
  </si>
  <si>
    <r>
      <rPr>
        <sz val="10"/>
        <rFont val="Arial"/>
        <family val="2"/>
      </rPr>
      <t>Procurement Specialist</t>
    </r>
  </si>
  <si>
    <r>
      <rPr>
        <sz val="10"/>
        <rFont val="Arial"/>
        <family val="2"/>
      </rPr>
      <t>Production Coordinator</t>
    </r>
  </si>
  <si>
    <r>
      <rPr>
        <sz val="10"/>
        <rFont val="Arial"/>
        <family val="2"/>
      </rPr>
      <t>Production Graphic Designer</t>
    </r>
  </si>
  <si>
    <r>
      <rPr>
        <sz val="10"/>
        <rFont val="Arial"/>
        <family val="2"/>
      </rPr>
      <t>Production Printer</t>
    </r>
  </si>
  <si>
    <r>
      <rPr>
        <sz val="10"/>
        <rFont val="Arial"/>
        <family val="2"/>
      </rPr>
      <t>Production Printing Specialist</t>
    </r>
  </si>
  <si>
    <r>
      <rPr>
        <sz val="10"/>
        <rFont val="Arial"/>
        <family val="2"/>
      </rPr>
      <t>Programmer Developer</t>
    </r>
  </si>
  <si>
    <r>
      <rPr>
        <sz val="10"/>
        <rFont val="Arial"/>
        <family val="2"/>
      </rPr>
      <t>Project Manager</t>
    </r>
  </si>
  <si>
    <r>
      <rPr>
        <sz val="10"/>
        <rFont val="Arial"/>
        <family val="2"/>
      </rPr>
      <t>Properties Outreach Specialist</t>
    </r>
  </si>
  <si>
    <r>
      <rPr>
        <sz val="10"/>
        <rFont val="Arial"/>
        <family val="2"/>
      </rPr>
      <t>Public Affairs and Marketing Specialist</t>
    </r>
  </si>
  <si>
    <r>
      <rPr>
        <sz val="10"/>
        <rFont val="Arial"/>
        <family val="2"/>
      </rPr>
      <t>Public Affairs Officer</t>
    </r>
  </si>
  <si>
    <r>
      <rPr>
        <sz val="10"/>
        <rFont val="Arial"/>
        <family val="2"/>
      </rPr>
      <t>Purchasing Clerk</t>
    </r>
  </si>
  <si>
    <r>
      <rPr>
        <sz val="10"/>
        <rFont val="Arial"/>
        <family val="2"/>
      </rPr>
      <t>Purchasing Specialist</t>
    </r>
  </si>
  <si>
    <r>
      <rPr>
        <sz val="10"/>
        <rFont val="Arial"/>
        <family val="2"/>
      </rPr>
      <t>Reading Paraprofessional</t>
    </r>
  </si>
  <si>
    <r>
      <rPr>
        <sz val="10"/>
        <rFont val="Arial"/>
        <family val="2"/>
      </rPr>
      <t>Revenue/Accounts Receivable Clerk</t>
    </r>
  </si>
  <si>
    <r>
      <rPr>
        <sz val="10"/>
        <rFont val="Arial"/>
        <family val="2"/>
      </rPr>
      <t>Safety &amp; Police Dispatch Coordinator</t>
    </r>
  </si>
  <si>
    <r>
      <rPr>
        <sz val="10"/>
        <rFont val="Arial"/>
        <family val="2"/>
      </rPr>
      <t>Senior Academic Evaluations Specialist</t>
    </r>
  </si>
  <si>
    <r>
      <rPr>
        <sz val="10"/>
        <rFont val="Arial"/>
        <family val="2"/>
      </rPr>
      <t>Senior Applied Technologist</t>
    </r>
  </si>
  <si>
    <r>
      <rPr>
        <sz val="10"/>
        <rFont val="Arial"/>
        <family val="2"/>
      </rPr>
      <t>Senior Custodian</t>
    </r>
  </si>
  <si>
    <r>
      <rPr>
        <sz val="10"/>
        <rFont val="Arial"/>
        <family val="2"/>
      </rPr>
      <t>Senior Financial Aid Advisor</t>
    </r>
  </si>
  <si>
    <r>
      <rPr>
        <sz val="10"/>
        <rFont val="Arial"/>
        <family val="2"/>
      </rPr>
      <t>Senior Graphics Designer</t>
    </r>
  </si>
  <si>
    <r>
      <rPr>
        <sz val="10"/>
        <rFont val="Arial"/>
        <family val="2"/>
      </rPr>
      <t>Senior Groundsperson</t>
    </r>
  </si>
  <si>
    <r>
      <rPr>
        <sz val="10"/>
        <rFont val="Arial"/>
        <family val="2"/>
      </rPr>
      <t>Senior Interpreter</t>
    </r>
  </si>
  <si>
    <r>
      <rPr>
        <sz val="10"/>
        <rFont val="Arial"/>
        <family val="2"/>
      </rPr>
      <t>Senior Officer, Safety &amp; Police</t>
    </r>
  </si>
  <si>
    <r>
      <rPr>
        <sz val="10"/>
        <rFont val="Arial"/>
        <family val="2"/>
      </rPr>
      <t>Senior Tool Room Attendant</t>
    </r>
  </si>
  <si>
    <r>
      <rPr>
        <sz val="10"/>
        <rFont val="Arial"/>
        <family val="2"/>
      </rPr>
      <t>Sprinkler Repair Person</t>
    </r>
  </si>
  <si>
    <r>
      <rPr>
        <sz val="10"/>
        <rFont val="Arial"/>
        <family val="2"/>
      </rPr>
      <t>Student Accounts Specialist</t>
    </r>
  </si>
  <si>
    <r>
      <rPr>
        <sz val="10"/>
        <rFont val="Arial"/>
        <family val="2"/>
      </rPr>
      <t>Student Employment Personnel Specialist</t>
    </r>
  </si>
  <si>
    <r>
      <rPr>
        <sz val="10"/>
        <rFont val="Arial"/>
        <family val="2"/>
      </rPr>
      <t>Student Financial Services Account Specialist</t>
    </r>
  </si>
  <si>
    <r>
      <rPr>
        <sz val="10"/>
        <rFont val="Arial"/>
        <family val="2"/>
      </rPr>
      <t>Student Financial Services Analyst</t>
    </r>
  </si>
  <si>
    <r>
      <rPr>
        <sz val="10"/>
        <rFont val="Arial"/>
        <family val="2"/>
      </rPr>
      <t>Student Financial Services Officer</t>
    </r>
  </si>
  <si>
    <r>
      <rPr>
        <sz val="10"/>
        <rFont val="Arial"/>
        <family val="2"/>
      </rPr>
      <t>Student Financial Services Outreach Specialist</t>
    </r>
  </si>
  <si>
    <r>
      <rPr>
        <sz val="10"/>
        <rFont val="Arial"/>
        <family val="2"/>
      </rPr>
      <t>Student Resource Specialist</t>
    </r>
  </si>
  <si>
    <r>
      <rPr>
        <sz val="10"/>
        <rFont val="Arial"/>
        <family val="2"/>
      </rPr>
      <t>Student Services Specialist</t>
    </r>
  </si>
  <si>
    <r>
      <rPr>
        <sz val="10"/>
        <rFont val="Arial"/>
        <family val="2"/>
      </rPr>
      <t>Student Services Technician</t>
    </r>
  </si>
  <si>
    <r>
      <rPr>
        <sz val="10"/>
        <rFont val="Arial"/>
        <family val="2"/>
      </rPr>
      <t>Student Success Specialist</t>
    </r>
  </si>
  <si>
    <r>
      <rPr>
        <sz val="10"/>
        <rFont val="Arial"/>
        <family val="2"/>
      </rPr>
      <t>Student Support Services Site Coordinator</t>
    </r>
  </si>
  <si>
    <r>
      <rPr>
        <sz val="10"/>
        <rFont val="Arial"/>
        <family val="2"/>
      </rPr>
      <t>Supplemental Instructional Coordinator</t>
    </r>
  </si>
  <si>
    <r>
      <rPr>
        <sz val="10"/>
        <rFont val="Arial"/>
        <family val="2"/>
      </rPr>
      <t>Support Center Technician</t>
    </r>
  </si>
  <si>
    <r>
      <rPr>
        <sz val="10"/>
        <rFont val="Arial"/>
        <family val="2"/>
      </rPr>
      <t>Support Services Specialist</t>
    </r>
  </si>
  <si>
    <r>
      <rPr>
        <sz val="10"/>
        <rFont val="Arial"/>
        <family val="2"/>
      </rPr>
      <t>Support Services Specialist Aide</t>
    </r>
  </si>
  <si>
    <r>
      <rPr>
        <sz val="10"/>
        <rFont val="Arial"/>
        <family val="2"/>
      </rPr>
      <t>Swimming Pool Caretaker</t>
    </r>
  </si>
  <si>
    <r>
      <rPr>
        <sz val="10"/>
        <rFont val="Arial"/>
        <family val="2"/>
      </rPr>
      <t>Systems Administrator</t>
    </r>
  </si>
  <si>
    <r>
      <rPr>
        <sz val="10"/>
        <rFont val="Arial"/>
        <family val="2"/>
      </rPr>
      <t>U</t>
    </r>
  </si>
  <si>
    <r>
      <rPr>
        <sz val="10"/>
        <rFont val="Arial"/>
        <family val="2"/>
      </rPr>
      <t>Telephone Systems Account Clerk</t>
    </r>
  </si>
  <si>
    <r>
      <rPr>
        <sz val="10"/>
        <rFont val="Arial"/>
        <family val="2"/>
      </rPr>
      <t>Telephone Systems Account Specialist</t>
    </r>
  </si>
  <si>
    <r>
      <rPr>
        <sz val="10"/>
        <rFont val="Arial"/>
        <family val="2"/>
      </rPr>
      <t>Television Production Studio Specialist</t>
    </r>
  </si>
  <si>
    <r>
      <rPr>
        <sz val="10"/>
        <rFont val="Arial"/>
        <family val="2"/>
      </rPr>
      <t>Television Studio Technician</t>
    </r>
  </si>
  <si>
    <r>
      <rPr>
        <sz val="10"/>
        <rFont val="Arial"/>
        <family val="2"/>
      </rPr>
      <t>Theater Box Office Assistant</t>
    </r>
  </si>
  <si>
    <r>
      <rPr>
        <sz val="10"/>
        <rFont val="Arial"/>
        <family val="2"/>
      </rPr>
      <t>Theater Box Office Coordinator</t>
    </r>
  </si>
  <si>
    <r>
      <rPr>
        <sz val="10"/>
        <rFont val="Arial"/>
        <family val="2"/>
      </rPr>
      <t>Theater Box Office Specialist</t>
    </r>
  </si>
  <si>
    <r>
      <rPr>
        <sz val="10"/>
        <rFont val="Arial"/>
        <family val="2"/>
      </rPr>
      <t>Theater Scenic Specialist</t>
    </r>
  </si>
  <si>
    <r>
      <rPr>
        <sz val="10"/>
        <rFont val="Arial"/>
        <family val="2"/>
      </rPr>
      <t>Tutorial Services Clerk</t>
    </r>
  </si>
  <si>
    <r>
      <rPr>
        <sz val="10"/>
        <rFont val="Arial"/>
        <family val="2"/>
      </rPr>
      <t>Tutorial Services Specialist</t>
    </r>
  </si>
  <si>
    <r>
      <rPr>
        <sz val="10"/>
        <rFont val="Arial"/>
        <family val="2"/>
      </rPr>
      <t>Tutorial Services Technician</t>
    </r>
  </si>
  <si>
    <r>
      <rPr>
        <sz val="10"/>
        <rFont val="Arial"/>
        <family val="2"/>
      </rPr>
      <t>Upward Bound Coordinator</t>
    </r>
  </si>
  <si>
    <r>
      <rPr>
        <sz val="10"/>
        <rFont val="Arial"/>
        <family val="2"/>
      </rPr>
      <t>Veterans Services Specialist</t>
    </r>
  </si>
  <si>
    <r>
      <rPr>
        <sz val="10"/>
        <rFont val="Arial"/>
        <family val="2"/>
      </rPr>
      <t>Veterans Services Technician</t>
    </r>
  </si>
  <si>
    <r>
      <rPr>
        <sz val="10"/>
        <rFont val="Arial"/>
        <family val="2"/>
      </rPr>
      <t>Warehouse Assistant</t>
    </r>
  </si>
  <si>
    <t>*Standard H&amp;W with Jefferson Pilot Life, Delta Dental and RCCD</t>
  </si>
  <si>
    <t>GL&amp;P</t>
  </si>
  <si>
    <r>
      <rPr>
        <b/>
        <sz val="10"/>
        <rFont val="Arial"/>
        <family val="2"/>
      </rPr>
      <t>POSITION TITLE</t>
    </r>
  </si>
  <si>
    <r>
      <rPr>
        <b/>
        <sz val="10"/>
        <rFont val="Arial"/>
        <family val="2"/>
      </rPr>
      <t>Step 1</t>
    </r>
  </si>
  <si>
    <r>
      <rPr>
        <b/>
        <sz val="10"/>
        <rFont val="Arial"/>
        <family val="2"/>
      </rPr>
      <t>Step 2</t>
    </r>
  </si>
  <si>
    <r>
      <rPr>
        <b/>
        <sz val="10"/>
        <rFont val="Arial"/>
        <family val="2"/>
      </rPr>
      <t>Step 3</t>
    </r>
  </si>
  <si>
    <r>
      <rPr>
        <b/>
        <sz val="10"/>
        <rFont val="Arial"/>
        <family val="2"/>
      </rPr>
      <t>Step 4</t>
    </r>
  </si>
  <si>
    <r>
      <rPr>
        <sz val="10"/>
        <rFont val="Arial"/>
        <family val="2"/>
      </rPr>
      <t>Accounting Services Manager</t>
    </r>
  </si>
  <si>
    <r>
      <rPr>
        <sz val="10"/>
        <rFont val="Arial"/>
        <family val="2"/>
      </rPr>
      <t>Assistant Custodial Manager</t>
    </r>
  </si>
  <si>
    <r>
      <rPr>
        <sz val="10"/>
        <rFont val="Arial"/>
        <family val="2"/>
      </rPr>
      <t>Assistant Dean, CalWorks &amp; Special Funded Programs **</t>
    </r>
  </si>
  <si>
    <r>
      <rPr>
        <sz val="10"/>
        <rFont val="Arial"/>
        <family val="2"/>
      </rPr>
      <t>S</t>
    </r>
  </si>
  <si>
    <r>
      <rPr>
        <sz val="10"/>
        <rFont val="Arial"/>
        <family val="2"/>
      </rPr>
      <t>T</t>
    </r>
  </si>
  <si>
    <r>
      <rPr>
        <sz val="10"/>
        <rFont val="Arial"/>
        <family val="2"/>
      </rPr>
      <t>Assistant Manager, Food Services</t>
    </r>
  </si>
  <si>
    <r>
      <rPr>
        <sz val="10"/>
        <rFont val="Arial"/>
        <family val="2"/>
      </rPr>
      <t>Associate Dean, Academic Support</t>
    </r>
  </si>
  <si>
    <r>
      <rPr>
        <sz val="10"/>
        <rFont val="Arial"/>
        <family val="2"/>
      </rPr>
      <t>V</t>
    </r>
  </si>
  <si>
    <r>
      <rPr>
        <sz val="10"/>
        <rFont val="Arial"/>
        <family val="2"/>
      </rPr>
      <t>Associate Dean, Grants &amp; College Support Programs **</t>
    </r>
  </si>
  <si>
    <r>
      <rPr>
        <sz val="10"/>
        <rFont val="Arial"/>
        <family val="2"/>
      </rPr>
      <t>X</t>
    </r>
  </si>
  <si>
    <r>
      <rPr>
        <sz val="10"/>
        <rFont val="Arial"/>
        <family val="2"/>
      </rPr>
      <t>Associate Vice Chancellor, Educational Services</t>
    </r>
  </si>
  <si>
    <r>
      <rPr>
        <sz val="10"/>
        <rFont val="Arial"/>
        <family val="2"/>
      </rPr>
      <t>AB</t>
    </r>
  </si>
  <si>
    <r>
      <rPr>
        <sz val="10"/>
        <rFont val="Arial"/>
        <family val="2"/>
      </rPr>
      <t>Associate Vice Chancellor, Strategic Communications &amp; Relations</t>
    </r>
  </si>
  <si>
    <r>
      <rPr>
        <sz val="10"/>
        <rFont val="Arial"/>
        <family val="2"/>
      </rPr>
      <t>Z</t>
    </r>
  </si>
  <si>
    <r>
      <rPr>
        <sz val="10"/>
        <rFont val="Arial"/>
        <family val="2"/>
      </rPr>
      <t>Campus Administrative Support Center Supervisor *</t>
    </r>
  </si>
  <si>
    <r>
      <rPr>
        <sz val="10"/>
        <rFont val="Arial"/>
        <family val="2"/>
      </rPr>
      <t>Chief of Police</t>
    </r>
  </si>
  <si>
    <r>
      <rPr>
        <sz val="10"/>
        <rFont val="Arial"/>
        <family val="2"/>
      </rPr>
      <t>Community Education Supervisor *</t>
    </r>
  </si>
  <si>
    <r>
      <rPr>
        <sz val="10"/>
        <rFont val="Arial"/>
        <family val="2"/>
      </rPr>
      <t>Controller</t>
    </r>
  </si>
  <si>
    <r>
      <rPr>
        <sz val="10"/>
        <rFont val="Arial"/>
        <family val="2"/>
      </rPr>
      <t>Y</t>
    </r>
  </si>
  <si>
    <r>
      <rPr>
        <sz val="10"/>
        <rFont val="Arial"/>
        <family val="2"/>
      </rPr>
      <t>Dean, Educational Services</t>
    </r>
  </si>
  <si>
    <r>
      <rPr>
        <sz val="10"/>
        <rFont val="Arial"/>
        <family val="2"/>
      </rPr>
      <t>Dean, Enrollment Services</t>
    </r>
  </si>
  <si>
    <r>
      <rPr>
        <sz val="10"/>
        <rFont val="Arial"/>
        <family val="2"/>
      </rPr>
      <t>W</t>
    </r>
  </si>
  <si>
    <r>
      <rPr>
        <sz val="10"/>
        <rFont val="Arial"/>
        <family val="2"/>
      </rPr>
      <t>Dean, Public Safety Education and Training</t>
    </r>
  </si>
  <si>
    <r>
      <rPr>
        <sz val="10"/>
        <rFont val="Arial"/>
        <family val="2"/>
      </rPr>
      <t>Dean, School of Nursing</t>
    </r>
  </si>
  <si>
    <r>
      <rPr>
        <sz val="10"/>
        <rFont val="Arial"/>
        <family val="2"/>
      </rPr>
      <t>Dean, Student Services</t>
    </r>
  </si>
  <si>
    <r>
      <rPr>
        <sz val="10"/>
        <rFont val="Arial"/>
        <family val="2"/>
      </rPr>
      <t>Dean, Technology &amp; Learning Resources</t>
    </r>
  </si>
  <si>
    <r>
      <rPr>
        <sz val="10"/>
        <rFont val="Arial"/>
        <family val="2"/>
      </rPr>
      <t>Director, Administrative Support Center</t>
    </r>
  </si>
  <si>
    <r>
      <rPr>
        <sz val="10"/>
        <rFont val="Arial"/>
        <family val="2"/>
      </rPr>
      <t>Director, Athletics</t>
    </r>
  </si>
  <si>
    <r>
      <rPr>
        <sz val="10"/>
        <rFont val="Arial"/>
        <family val="2"/>
      </rPr>
      <t>Director, Career &amp; Technical Education Projects **</t>
    </r>
  </si>
  <si>
    <r>
      <rPr>
        <sz val="10"/>
        <rFont val="Arial"/>
        <family val="2"/>
      </rPr>
      <t>Director, Corporate and Business Development</t>
    </r>
  </si>
  <si>
    <r>
      <rPr>
        <sz val="10"/>
        <rFont val="Arial"/>
        <family val="2"/>
      </rPr>
      <t>Director, Enrollment Services</t>
    </r>
  </si>
  <si>
    <r>
      <rPr>
        <sz val="10"/>
        <rFont val="Arial"/>
        <family val="2"/>
      </rPr>
      <t>Director, Food Services</t>
    </r>
  </si>
  <si>
    <r>
      <rPr>
        <sz val="10"/>
        <rFont val="Arial"/>
        <family val="2"/>
      </rPr>
      <t>Director, Grants</t>
    </r>
  </si>
  <si>
    <r>
      <rPr>
        <sz val="10"/>
        <rFont val="Arial"/>
        <family val="2"/>
      </rPr>
      <t>Director, Health Services</t>
    </r>
  </si>
  <si>
    <r>
      <rPr>
        <sz val="10"/>
        <rFont val="Arial"/>
        <family val="2"/>
      </rPr>
      <t>Director, Middle College High School</t>
    </r>
  </si>
  <si>
    <r>
      <rPr>
        <sz val="10"/>
        <rFont val="Arial"/>
        <family val="2"/>
      </rPr>
      <t>Director, Procurement Assistance Center **</t>
    </r>
  </si>
  <si>
    <r>
      <rPr>
        <sz val="10"/>
        <rFont val="Arial"/>
        <family val="2"/>
      </rPr>
      <t>Director, Risk Management</t>
    </r>
  </si>
  <si>
    <r>
      <rPr>
        <sz val="10"/>
        <rFont val="Arial"/>
        <family val="2"/>
      </rPr>
      <t>Director, Software Development</t>
    </r>
  </si>
  <si>
    <r>
      <rPr>
        <sz val="10"/>
        <rFont val="Arial"/>
        <family val="2"/>
      </rPr>
      <t>Director, Student Financial Services</t>
    </r>
  </si>
  <si>
    <r>
      <rPr>
        <sz val="10"/>
        <rFont val="Arial"/>
        <family val="2"/>
      </rPr>
      <t>Director, Upward Bound **</t>
    </r>
  </si>
  <si>
    <r>
      <rPr>
        <sz val="10"/>
        <rFont val="Arial"/>
        <family val="2"/>
      </rPr>
      <t>Director, Web Applications</t>
    </r>
  </si>
  <si>
    <r>
      <rPr>
        <sz val="10"/>
        <rFont val="Arial"/>
        <family val="2"/>
      </rPr>
      <t>Director, Workforce Preparation Grants and Contracts **</t>
    </r>
  </si>
  <si>
    <r>
      <rPr>
        <sz val="10"/>
        <rFont val="Arial"/>
        <family val="2"/>
      </rPr>
      <t>General Counsel</t>
    </r>
  </si>
  <si>
    <r>
      <rPr>
        <sz val="10"/>
        <rFont val="Arial"/>
        <family val="2"/>
      </rPr>
      <t>Health Services Supervisor *</t>
    </r>
  </si>
  <si>
    <r>
      <rPr>
        <sz val="10"/>
        <rFont val="Arial"/>
        <family val="2"/>
      </rPr>
      <t>Human Resources Administrative Manager</t>
    </r>
  </si>
  <si>
    <r>
      <rPr>
        <sz val="10"/>
        <rFont val="Arial"/>
        <family val="2"/>
      </rPr>
      <t>Information Architect **</t>
    </r>
  </si>
  <si>
    <r>
      <rPr>
        <sz val="10"/>
        <rFont val="Arial"/>
        <family val="2"/>
      </rPr>
      <t>Instructional Media Center Manager</t>
    </r>
  </si>
  <si>
    <r>
      <rPr>
        <sz val="10"/>
        <rFont val="Arial"/>
        <family val="2"/>
      </rPr>
      <t>Library/Learning Resources Administrative Manager</t>
    </r>
  </si>
  <si>
    <r>
      <rPr>
        <sz val="10"/>
        <rFont val="Arial"/>
        <family val="2"/>
      </rPr>
      <t>Network Manager</t>
    </r>
  </si>
  <si>
    <r>
      <rPr>
        <sz val="10"/>
        <rFont val="Arial"/>
        <family val="2"/>
      </rPr>
      <t>Outcomes Assessment Specialist **</t>
    </r>
  </si>
  <si>
    <r>
      <rPr>
        <sz val="10"/>
        <rFont val="Arial"/>
        <family val="2"/>
      </rPr>
      <t>Payroll Manager</t>
    </r>
  </si>
  <si>
    <r>
      <rPr>
        <sz val="10"/>
        <rFont val="Arial"/>
        <family val="2"/>
      </rPr>
      <t>Project Director, Gateway to College</t>
    </r>
  </si>
  <si>
    <r>
      <rPr>
        <sz val="10"/>
        <rFont val="Arial"/>
        <family val="2"/>
      </rPr>
      <t>Purchasing Manager</t>
    </r>
  </si>
  <si>
    <r>
      <rPr>
        <sz val="10"/>
        <rFont val="Arial"/>
        <family val="2"/>
      </rPr>
      <t>Sergeant *</t>
    </r>
  </si>
  <si>
    <r>
      <rPr>
        <sz val="10"/>
        <rFont val="Arial"/>
        <family val="2"/>
      </rPr>
      <t>Statewide Director, Center for International Trade Development</t>
    </r>
  </si>
  <si>
    <r>
      <rPr>
        <sz val="10"/>
        <rFont val="Arial"/>
        <family val="2"/>
      </rPr>
      <t>Vice President, Academic Affairs</t>
    </r>
  </si>
  <si>
    <r>
      <rPr>
        <sz val="10"/>
        <rFont val="Arial"/>
        <family val="2"/>
      </rPr>
      <t>Vice President, Business Services</t>
    </r>
  </si>
  <si>
    <r>
      <rPr>
        <sz val="10"/>
        <rFont val="Arial"/>
        <family val="2"/>
      </rPr>
      <t>Vice President, Student Services</t>
    </r>
  </si>
  <si>
    <r>
      <rPr>
        <sz val="10"/>
        <rFont val="Arial"/>
        <family val="2"/>
      </rPr>
      <t>Warehouse Supervisor *</t>
    </r>
  </si>
  <si>
    <t>Certificated Administrator/Manager</t>
  </si>
  <si>
    <t>Classified Manager</t>
  </si>
  <si>
    <t>Budget/Accounting Specialist</t>
  </si>
  <si>
    <t>Classroom Assistant</t>
  </si>
  <si>
    <t>Clerk Trainee</t>
  </si>
  <si>
    <t>Dental Health Educator</t>
  </si>
  <si>
    <t>Detective/Investigator</t>
  </si>
  <si>
    <t>Evaluator, Administration of Justice</t>
  </si>
  <si>
    <t>Grant Facilitator</t>
  </si>
  <si>
    <t>Health Services Facilitator</t>
  </si>
  <si>
    <t>High School Program Coordinator</t>
  </si>
  <si>
    <t>Interpreter IV (Certified Interpreter)</t>
  </si>
  <si>
    <t>Matriculation &amp; Educational Support Associate</t>
  </si>
  <si>
    <t>Proofreader</t>
  </si>
  <si>
    <t>Reserve College Police Officer</t>
  </si>
  <si>
    <t>Role Player</t>
  </si>
  <si>
    <t>Scanner</t>
  </si>
  <si>
    <t>Sports Publicist</t>
  </si>
  <si>
    <t>Stage Hand</t>
  </si>
  <si>
    <t>Student Support Services University Mentor</t>
  </si>
  <si>
    <t>Supplemental Instructional Leader</t>
  </si>
  <si>
    <t>Survey Analyst</t>
  </si>
  <si>
    <t>Community Liaison</t>
  </si>
  <si>
    <t>Copy Editor</t>
  </si>
  <si>
    <t>E-Text Transcriber</t>
  </si>
  <si>
    <t>Facilities ADA Accessibility Coordinator</t>
  </si>
  <si>
    <t>Academy Coordinator</t>
  </si>
  <si>
    <t>Box Office Specialist</t>
  </si>
  <si>
    <t>Finance Specialist</t>
  </si>
  <si>
    <t>IMC Trainee</t>
  </si>
  <si>
    <t>Forensics Assistant</t>
  </si>
  <si>
    <t>Coaches, Summer Activities</t>
  </si>
  <si>
    <t>Grant Project Technician</t>
  </si>
  <si>
    <t>Grant Project Educational Aide II</t>
  </si>
  <si>
    <t>Grant Project Educational Trainer I</t>
  </si>
  <si>
    <t>Grant Project Educational Trainer II</t>
  </si>
  <si>
    <t>Facilities Planning and Development Assistant</t>
  </si>
  <si>
    <t>Conference Coordinator</t>
  </si>
  <si>
    <t>Grant Analyst</t>
  </si>
  <si>
    <t>Public Safety Coordinator (Title V)</t>
  </si>
  <si>
    <t>Publicist Trainee</t>
  </si>
  <si>
    <t>Puente Assistant</t>
  </si>
  <si>
    <t>Registered Nurse I</t>
  </si>
  <si>
    <t>Registered Nurse II</t>
  </si>
  <si>
    <t>Registered Nurse III</t>
  </si>
  <si>
    <t>Production Printer II</t>
  </si>
  <si>
    <t>Photographer I (Intern)</t>
  </si>
  <si>
    <t>Photographer II</t>
  </si>
  <si>
    <t>Photographer III</t>
  </si>
  <si>
    <t>Nurse Practitioner</t>
  </si>
  <si>
    <t>Lifeguard (Instructor)</t>
  </si>
  <si>
    <t>Lifeguard (Senior)</t>
  </si>
  <si>
    <t>Lifeguard (Advanced)</t>
  </si>
  <si>
    <t>Marketing &amp; Media Coordinator</t>
  </si>
  <si>
    <t>Instructional Aide III</t>
  </si>
  <si>
    <t>Interpreter Apprentice</t>
  </si>
  <si>
    <t>Laboratory Aide II</t>
  </si>
  <si>
    <t>Instructional Aide I</t>
  </si>
  <si>
    <t>Instructional Aide II</t>
  </si>
  <si>
    <t>Interpreter II</t>
  </si>
  <si>
    <t>Interpreter III</t>
  </si>
  <si>
    <t>Laboratory Aide I</t>
  </si>
  <si>
    <t>Research Intern</t>
  </si>
  <si>
    <t>Stage Master Carpenter</t>
  </si>
  <si>
    <t>Student Success Coach</t>
  </si>
  <si>
    <t>Web Accessibility Technician</t>
  </si>
  <si>
    <t>Summer Bridge Coordinator</t>
  </si>
  <si>
    <t>Tutor II</t>
  </si>
  <si>
    <t>Tutor III</t>
  </si>
  <si>
    <t>Tri-Tech Business Associate</t>
  </si>
  <si>
    <t>Tutor I</t>
  </si>
  <si>
    <t>Video Technician, Football Games</t>
  </si>
  <si>
    <t>STEM Mentor</t>
  </si>
  <si>
    <t>Upward Bound College Mentor</t>
  </si>
  <si>
    <t>Study Group Leader</t>
  </si>
  <si>
    <t>Summer Youth Worker</t>
  </si>
  <si>
    <t>Technical Business Advisor</t>
  </si>
  <si>
    <t>Theater Sound Technician</t>
  </si>
  <si>
    <t>Stage Master Electrician</t>
  </si>
  <si>
    <t>STEM Activities Coordinator</t>
  </si>
  <si>
    <t>Student Activities Advisor</t>
  </si>
  <si>
    <t>Student Activities Assistant</t>
  </si>
  <si>
    <t>Student Health Specialist</t>
  </si>
  <si>
    <t>Tutor IV</t>
  </si>
  <si>
    <t>Academy Scenario Asst</t>
  </si>
  <si>
    <t>Activities Asst</t>
  </si>
  <si>
    <t>Asst Pool Manager</t>
  </si>
  <si>
    <t>Asst Project Coordinator (Dental Hygiene)</t>
  </si>
  <si>
    <t>Communication Asst</t>
  </si>
  <si>
    <t>Custodial Asst</t>
  </si>
  <si>
    <t>Dental Asst</t>
  </si>
  <si>
    <t>Diversity, Equity &amp; Compliance Intern</t>
  </si>
  <si>
    <t>Educational Asst</t>
  </si>
  <si>
    <t>Executive Asst</t>
  </si>
  <si>
    <t>Facilities Asst</t>
  </si>
  <si>
    <t>Food Services Assistant</t>
  </si>
  <si>
    <t>Grounds Asst</t>
  </si>
  <si>
    <t>IMC Asst I</t>
  </si>
  <si>
    <t>IMC Asst II</t>
  </si>
  <si>
    <t>International Trade Asst</t>
  </si>
  <si>
    <t xml:space="preserve">Interpreter I </t>
  </si>
  <si>
    <t>Maintenance Asst</t>
  </si>
  <si>
    <t>Matriculation Asst I</t>
  </si>
  <si>
    <t>Matriculation Asst II</t>
  </si>
  <si>
    <t>Matriculation Asst III</t>
  </si>
  <si>
    <t>Office Asst I</t>
  </si>
  <si>
    <t>Office Asst II</t>
  </si>
  <si>
    <t>Office Asst III</t>
  </si>
  <si>
    <t>Office Asst IV</t>
  </si>
  <si>
    <t>Production Technician Asst I</t>
  </si>
  <si>
    <t>Research Asst</t>
  </si>
  <si>
    <t>Stage Tech I</t>
  </si>
  <si>
    <t>Stage Tech II</t>
  </si>
  <si>
    <t>Stage Tech III</t>
  </si>
  <si>
    <t>Stage Tech IV</t>
  </si>
  <si>
    <t>Stage Tech V</t>
  </si>
  <si>
    <t>Stage Tech VI</t>
  </si>
  <si>
    <t>Equipment, Supplies and Services</t>
  </si>
  <si>
    <t>Enter Description</t>
  </si>
  <si>
    <t>Supplies</t>
  </si>
  <si>
    <t>Equipment</t>
  </si>
  <si>
    <t>Enter Information on Technology Tab</t>
  </si>
  <si>
    <t>Total Cost of Ownership Summary</t>
  </si>
  <si>
    <t>Total Cost of Ownership Estimator</t>
  </si>
  <si>
    <t>Equipment, Supplies &amp; Services</t>
  </si>
  <si>
    <t>Rate for Costing Purposes</t>
  </si>
  <si>
    <t>Rate Will Fill In</t>
  </si>
  <si>
    <t>Salary for 1.0 FTE</t>
  </si>
  <si>
    <t>Total - Additional Buildings</t>
  </si>
  <si>
    <t>Technology</t>
  </si>
  <si>
    <t>Equipment, Supplies &amp; Services Total</t>
  </si>
  <si>
    <t>Technology Total</t>
  </si>
  <si>
    <t>Operating Expenses Total</t>
  </si>
  <si>
    <t>Additional Buildings</t>
  </si>
  <si>
    <t>Utilities Analysis</t>
  </si>
  <si>
    <t>Entity</t>
  </si>
  <si>
    <t>OGSF*</t>
  </si>
  <si>
    <t>ASF*</t>
  </si>
  <si>
    <t>Gas</t>
  </si>
  <si>
    <t>Vendor</t>
  </si>
  <si>
    <t>Per OGSF</t>
  </si>
  <si>
    <t>Per ASF</t>
  </si>
  <si>
    <t>Electricity</t>
  </si>
  <si>
    <t>Water</t>
  </si>
  <si>
    <t>District</t>
  </si>
  <si>
    <t>Gas Company</t>
  </si>
  <si>
    <t>SCE, Magnon Prop Mgmt, City of Riverside,</t>
  </si>
  <si>
    <t xml:space="preserve">City of Corona, Magnon Prop Mgmt, </t>
  </si>
  <si>
    <t>RCC</t>
  </si>
  <si>
    <t>City of Riverside</t>
  </si>
  <si>
    <t>NC</t>
  </si>
  <si>
    <t>SCE</t>
  </si>
  <si>
    <t>City of Norco</t>
  </si>
  <si>
    <t>MVC</t>
  </si>
  <si>
    <t>EMWD</t>
  </si>
  <si>
    <t>*</t>
  </si>
  <si>
    <t>OGSF=Gross Square Footage</t>
  </si>
  <si>
    <t xml:space="preserve">   ASF=Assignable Square Footage</t>
  </si>
  <si>
    <t>Average</t>
  </si>
  <si>
    <t>Building Name</t>
  </si>
  <si>
    <t>OSGF</t>
  </si>
  <si>
    <t>Total Average Utilities</t>
  </si>
  <si>
    <t>Use Utilities Estimator on Utilities Tab</t>
  </si>
  <si>
    <t xml:space="preserve">*If you are adding permanent positions, please consider needs in the following areas. </t>
  </si>
  <si>
    <t>Computer, Desk, Bookcase &amp; Phone</t>
  </si>
  <si>
    <t>New FT Faculty &amp; Counselor Equipment Total</t>
  </si>
  <si>
    <r>
      <t>New FT Faculty &amp; Counselor Equipment Allocation</t>
    </r>
    <r>
      <rPr>
        <b/>
        <sz val="10"/>
        <rFont val="Calibri"/>
        <family val="2"/>
      </rPr>
      <t xml:space="preserve"> </t>
    </r>
  </si>
  <si>
    <t>New FT Faculty &amp; Counselor Equip</t>
  </si>
  <si>
    <t>Will Populate Automatically When Adding Permanent Positions</t>
  </si>
  <si>
    <r>
      <t xml:space="preserve">Section Costs                                    </t>
    </r>
    <r>
      <rPr>
        <b/>
        <sz val="12"/>
        <rFont val="Calibri"/>
        <family val="2"/>
      </rPr>
      <t>Enter # of Sections</t>
    </r>
  </si>
  <si>
    <r>
      <t xml:space="preserve">Section Costs                                  </t>
    </r>
    <r>
      <rPr>
        <b/>
        <sz val="12"/>
        <rFont val="Calibri"/>
        <family val="2"/>
      </rPr>
      <t xml:space="preserve">  Enter # of Sections</t>
    </r>
  </si>
  <si>
    <t xml:space="preserve"> Construction/Remodel of Buildings:  Refer to M&amp;O Tab for Potential Expenditures</t>
  </si>
  <si>
    <t>Capital Outlay - Buildings</t>
  </si>
  <si>
    <t>Operating Expenses - Buildings</t>
  </si>
  <si>
    <t>Ongoing? Select Yes or No</t>
  </si>
  <si>
    <t>Select Job Title</t>
  </si>
  <si>
    <r>
      <t>Select  Job Title (</t>
    </r>
    <r>
      <rPr>
        <b/>
        <i/>
        <sz val="14"/>
        <rFont val="Calibri"/>
        <family val="2"/>
      </rPr>
      <t>Pick from Drop Down and Cost Information will populate automatically</t>
    </r>
    <r>
      <rPr>
        <b/>
        <sz val="14"/>
        <rFont val="Calibri"/>
        <family val="2"/>
      </rPr>
      <t>)</t>
    </r>
  </si>
  <si>
    <t>Enter FTE</t>
  </si>
  <si>
    <t>Enter # of FT</t>
  </si>
  <si>
    <t>Enter Annual Hrs</t>
  </si>
  <si>
    <t xml:space="preserve">Permanent Part-Time Classified      </t>
  </si>
  <si>
    <t xml:space="preserve">Full Time Faculty  </t>
  </si>
  <si>
    <t xml:space="preserve">Full Time Counselor/Librarian </t>
  </si>
  <si>
    <r>
      <t xml:space="preserve">Short Term Non Classified  </t>
    </r>
    <r>
      <rPr>
        <b/>
        <sz val="12"/>
        <rFont val="Calibri"/>
        <family val="2"/>
      </rPr>
      <t xml:space="preserve"> </t>
    </r>
  </si>
  <si>
    <t xml:space="preserve">Student Employee </t>
  </si>
  <si>
    <t xml:space="preserve">Associate Faculty   </t>
  </si>
  <si>
    <t>PT Counselor or Librarian</t>
  </si>
  <si>
    <t>Yes</t>
  </si>
  <si>
    <t>One Time Salary</t>
  </si>
  <si>
    <t>Ongoing Salary</t>
  </si>
  <si>
    <t>Benefits</t>
  </si>
  <si>
    <t>Year</t>
  </si>
  <si>
    <t>12/13</t>
  </si>
  <si>
    <t>13/14</t>
  </si>
  <si>
    <t>14/15</t>
  </si>
  <si>
    <t>First 3 TOP</t>
  </si>
  <si>
    <t>Description</t>
  </si>
  <si>
    <t>Cost</t>
  </si>
  <si>
    <t>Sections</t>
  </si>
  <si>
    <t>Total Cost</t>
  </si>
  <si>
    <t>Total Sections</t>
  </si>
  <si>
    <t>020-029</t>
  </si>
  <si>
    <t>Architecture</t>
  </si>
  <si>
    <t>040</t>
  </si>
  <si>
    <t>Biology, Microbiology</t>
  </si>
  <si>
    <t>041</t>
  </si>
  <si>
    <t>Anatomy &amp; Physiology</t>
  </si>
  <si>
    <t>050</t>
  </si>
  <si>
    <t>Business</t>
  </si>
  <si>
    <t>051</t>
  </si>
  <si>
    <t>Real Estate</t>
  </si>
  <si>
    <t>060</t>
  </si>
  <si>
    <t>Journalism</t>
  </si>
  <si>
    <t>061</t>
  </si>
  <si>
    <t>Electronic Game Design</t>
  </si>
  <si>
    <t>070</t>
  </si>
  <si>
    <t>Information Tech</t>
  </si>
  <si>
    <t>083</t>
  </si>
  <si>
    <t>Physical Education</t>
  </si>
  <si>
    <t>090-093</t>
  </si>
  <si>
    <t>Engineering</t>
  </si>
  <si>
    <t>095</t>
  </si>
  <si>
    <t>Industrial Tech</t>
  </si>
  <si>
    <t>100</t>
  </si>
  <si>
    <t>Art, Music</t>
  </si>
  <si>
    <t>101</t>
  </si>
  <si>
    <t>Photography</t>
  </si>
  <si>
    <t>110</t>
  </si>
  <si>
    <t>Foreign Language</t>
  </si>
  <si>
    <t>127</t>
  </si>
  <si>
    <t>Kinesiology</t>
  </si>
  <si>
    <t>130</t>
  </si>
  <si>
    <t>Child Development</t>
  </si>
  <si>
    <t>150</t>
  </si>
  <si>
    <t>English, Philosophy</t>
  </si>
  <si>
    <t>151-159</t>
  </si>
  <si>
    <t>Humanities</t>
  </si>
  <si>
    <t>160</t>
  </si>
  <si>
    <t>Library Science</t>
  </si>
  <si>
    <t>170</t>
  </si>
  <si>
    <t>Mathematics</t>
  </si>
  <si>
    <t>190</t>
  </si>
  <si>
    <t>Physical Science</t>
  </si>
  <si>
    <t>200</t>
  </si>
  <si>
    <t>Psychology</t>
  </si>
  <si>
    <t>210</t>
  </si>
  <si>
    <t>Administration of Justice</t>
  </si>
  <si>
    <t>220</t>
  </si>
  <si>
    <t>Anthropology, Econ, History</t>
  </si>
  <si>
    <t>490</t>
  </si>
  <si>
    <t>493</t>
  </si>
  <si>
    <t>Guidance, Communication Skills</t>
  </si>
  <si>
    <t>Interdisciplinary (Used for multiple disciplines)</t>
  </si>
  <si>
    <t>OPEB</t>
  </si>
  <si>
    <t>Full-Time Classified/Confidential - Position 1</t>
  </si>
  <si>
    <t>Full-Time Classified/Confidential - Position 2</t>
  </si>
  <si>
    <t>*Associate faculty costs are estimated based on a 3 unit class consisting of 54 hours of lecture.</t>
  </si>
  <si>
    <t>Estimated Price, All Other:</t>
  </si>
  <si>
    <t>Expected Life-cycle (in years), All Other:</t>
  </si>
  <si>
    <t>Expected Life-cycle (in years), Computer:</t>
  </si>
  <si>
    <t>Operating Cost, Computer</t>
  </si>
  <si>
    <t>Operating Cost, All Other</t>
  </si>
  <si>
    <r>
      <t xml:space="preserve">Estimated Price, Computer &amp; Warranty </t>
    </r>
    <r>
      <rPr>
        <b/>
        <i/>
        <sz val="12"/>
        <color rgb="FF1F497D"/>
        <rFont val="Calibri"/>
        <family val="2"/>
      </rPr>
      <t>(Choose from Dropdown)</t>
    </r>
    <r>
      <rPr>
        <sz val="12"/>
        <color rgb="FF1F497D"/>
        <rFont val="Calibri"/>
        <family val="2"/>
      </rPr>
      <t>:</t>
    </r>
  </si>
  <si>
    <t>Computer Type</t>
  </si>
  <si>
    <t>Estimated Cost for future Upgrade/Replacement (for Entire Life-Cycle, 10% Inflation):</t>
  </si>
  <si>
    <t># of Computers</t>
  </si>
  <si>
    <t>No</t>
  </si>
  <si>
    <t>N/A</t>
  </si>
  <si>
    <r>
      <rPr>
        <sz val="10"/>
        <rFont val="Arial"/>
        <family val="2"/>
      </rPr>
      <t>Dean, Grants and Student Equity Initiatives **</t>
    </r>
  </si>
  <si>
    <r>
      <rPr>
        <sz val="10"/>
        <rFont val="Arial"/>
        <family val="2"/>
      </rPr>
      <t>Director, Facilities</t>
    </r>
  </si>
  <si>
    <r>
      <rPr>
        <sz val="10"/>
        <rFont val="Arial"/>
        <family val="2"/>
      </rPr>
      <t>Manager, District Safety and Emergency Preparedness</t>
    </r>
  </si>
  <si>
    <r>
      <rPr>
        <sz val="10"/>
        <rFont val="Arial"/>
        <family val="2"/>
      </rPr>
      <t>Project Director, Adult Education Block Grant**</t>
    </r>
  </si>
  <si>
    <r>
      <rPr>
        <sz val="10"/>
        <rFont val="Arial"/>
        <family val="2"/>
      </rPr>
      <t>Dean, Community Partnerships and Workforce Development</t>
    </r>
  </si>
  <si>
    <r>
      <rPr>
        <sz val="10"/>
        <rFont val="Arial"/>
        <family val="2"/>
      </rPr>
      <t>Student Financial Services Systems Analyst</t>
    </r>
  </si>
  <si>
    <r>
      <rPr>
        <sz val="10"/>
        <rFont val="Arial"/>
        <family val="2"/>
      </rPr>
      <t>Student Success and Support Programs Assistant</t>
    </r>
  </si>
  <si>
    <t>15/16</t>
  </si>
  <si>
    <t>16/17</t>
  </si>
  <si>
    <r>
      <rPr>
        <sz val="10"/>
        <rFont val="Arial"/>
        <family val="2"/>
      </rPr>
      <t>Apprenticeship Director **</t>
    </r>
  </si>
  <si>
    <r>
      <rPr>
        <sz val="10"/>
        <rFont val="Arial"/>
        <family val="2"/>
      </rPr>
      <t>Assistant Dean, Center for International Students and Programs</t>
    </r>
  </si>
  <si>
    <r>
      <rPr>
        <sz val="10"/>
        <rFont val="Arial"/>
        <family val="2"/>
      </rPr>
      <t>Assistant Director, Admissions and Records</t>
    </r>
  </si>
  <si>
    <r>
      <rPr>
        <sz val="10"/>
        <rFont val="Arial"/>
        <family val="2"/>
      </rPr>
      <t>Assistant Director, CTE Projects</t>
    </r>
  </si>
  <si>
    <r>
      <rPr>
        <sz val="10"/>
        <rFont val="Arial"/>
        <family val="2"/>
      </rPr>
      <t>Assistant Director, EOPS</t>
    </r>
  </si>
  <si>
    <r>
      <rPr>
        <sz val="10"/>
        <rFont val="Arial"/>
        <family val="2"/>
      </rPr>
      <t>Assistant Director, Facilities, Maintenance and Operations</t>
    </r>
  </si>
  <si>
    <r>
      <rPr>
        <sz val="10"/>
        <rFont val="Arial"/>
        <family val="2"/>
      </rPr>
      <t>Assistant Director, RCCD Foundation</t>
    </r>
  </si>
  <si>
    <r>
      <rPr>
        <sz val="10"/>
        <rFont val="Arial"/>
        <family val="2"/>
      </rPr>
      <t>Assistant Director, Student Financial Services</t>
    </r>
  </si>
  <si>
    <r>
      <rPr>
        <sz val="10"/>
        <rFont val="Arial"/>
        <family val="2"/>
      </rPr>
      <t>Associate Dean, CTE/Project Director, NSF</t>
    </r>
  </si>
  <si>
    <r>
      <rPr>
        <sz val="10"/>
        <rFont val="Arial"/>
        <family val="2"/>
      </rPr>
      <t>Associate Dean, Outreach and Educational Partnerships</t>
    </r>
  </si>
  <si>
    <r>
      <rPr>
        <sz val="10"/>
        <rFont val="Arial"/>
        <family val="2"/>
      </rPr>
      <t>Associate Dean, Public Safety Education and Training</t>
    </r>
  </si>
  <si>
    <r>
      <rPr>
        <sz val="10"/>
        <rFont val="Arial"/>
        <family val="2"/>
      </rPr>
      <t>Associate Vice Chancellor, Economic Development</t>
    </r>
  </si>
  <si>
    <r>
      <rPr>
        <sz val="10"/>
        <rFont val="Arial"/>
        <family val="2"/>
      </rPr>
      <t>Associate Vice Chancellor, Information Technology &amp; Learning Services</t>
    </r>
  </si>
  <si>
    <r>
      <rPr>
        <sz val="10"/>
        <rFont val="Arial"/>
        <family val="2"/>
      </rPr>
      <t>CTE Project Supervisor</t>
    </r>
  </si>
  <si>
    <r>
      <rPr>
        <sz val="10"/>
        <rFont val="Arial"/>
        <family val="2"/>
      </rPr>
      <t>Custodial Manager</t>
    </r>
  </si>
  <si>
    <r>
      <rPr>
        <sz val="10"/>
        <rFont val="Arial"/>
        <family val="2"/>
      </rPr>
      <t>Dean of Instruction</t>
    </r>
  </si>
  <si>
    <r>
      <rPr>
        <sz val="10"/>
        <rFont val="Arial"/>
        <family val="2"/>
      </rPr>
      <t>Dean of Instruction (Career &amp; Technical Education)</t>
    </r>
  </si>
  <si>
    <r>
      <rPr>
        <sz val="10"/>
        <rFont val="Arial"/>
        <family val="2"/>
      </rPr>
      <t>Dean of Instruction (Fine and Performing Arts)</t>
    </r>
  </si>
  <si>
    <r>
      <rPr>
        <sz val="10"/>
        <rFont val="Arial"/>
        <family val="2"/>
      </rPr>
      <t>Dean of Instruction (Language/Humanities/Social Science)</t>
    </r>
  </si>
  <si>
    <r>
      <rPr>
        <sz val="10"/>
        <rFont val="Arial"/>
        <family val="2"/>
      </rPr>
      <t>Dean of Instruction (STEM &amp; Kinesiology)</t>
    </r>
  </si>
  <si>
    <r>
      <rPr>
        <sz val="10"/>
        <rFont val="Arial"/>
        <family val="2"/>
      </rPr>
      <t>Dean of Instruction, CTE Programs &amp; Grants **</t>
    </r>
  </si>
  <si>
    <r>
      <rPr>
        <sz val="10"/>
        <rFont val="Arial"/>
        <family val="2"/>
      </rPr>
      <t>Dean, Admissions and Records</t>
    </r>
  </si>
  <si>
    <r>
      <rPr>
        <sz val="10"/>
        <rFont val="Arial"/>
        <family val="2"/>
      </rPr>
      <t>Dean, Grants and Academic Resource Development</t>
    </r>
  </si>
  <si>
    <r>
      <rPr>
        <sz val="10"/>
        <rFont val="Arial"/>
        <family val="2"/>
      </rPr>
      <t>Dean, Grants and Business Services</t>
    </r>
  </si>
  <si>
    <r>
      <rPr>
        <sz val="10"/>
        <rFont val="Arial"/>
        <family val="2"/>
      </rPr>
      <t>Dean, Grants and Economic Development</t>
    </r>
  </si>
  <si>
    <r>
      <rPr>
        <sz val="10"/>
        <rFont val="Arial"/>
        <family val="2"/>
      </rPr>
      <t>Dean, Institutional Effectiveness</t>
    </r>
  </si>
  <si>
    <r>
      <rPr>
        <sz val="10"/>
        <rFont val="Arial"/>
        <family val="2"/>
      </rPr>
      <t>Dean, Institutional Research and Strategic Planning</t>
    </r>
  </si>
  <si>
    <r>
      <rPr>
        <sz val="10"/>
        <rFont val="Arial"/>
        <family val="2"/>
      </rPr>
      <t>Dean, Special Funded Programs **</t>
    </r>
  </si>
  <si>
    <r>
      <rPr>
        <sz val="10"/>
        <rFont val="Arial"/>
        <family val="2"/>
      </rPr>
      <t>Dean, Student Life</t>
    </r>
  </si>
  <si>
    <r>
      <rPr>
        <sz val="10"/>
        <rFont val="Arial"/>
        <family val="2"/>
      </rPr>
      <t>Director, Academic Support</t>
    </r>
  </si>
  <si>
    <r>
      <rPr>
        <sz val="10"/>
        <rFont val="Arial"/>
        <family val="2"/>
      </rPr>
      <t>Director, Athletic Compliance</t>
    </r>
  </si>
  <si>
    <r>
      <rPr>
        <sz val="10"/>
        <rFont val="Arial"/>
        <family val="2"/>
      </rPr>
      <t>Director, Business Services</t>
    </r>
  </si>
  <si>
    <r>
      <rPr>
        <sz val="10"/>
        <rFont val="Arial"/>
        <family val="2"/>
      </rPr>
      <t>Director, Center for International Trade Development</t>
    </r>
  </si>
  <si>
    <r>
      <rPr>
        <sz val="10"/>
        <rFont val="Arial"/>
        <family val="2"/>
      </rPr>
      <t>Director, Center for Social Justice and Civil Liberties</t>
    </r>
  </si>
  <si>
    <r>
      <rPr>
        <sz val="10"/>
        <rFont val="Arial"/>
        <family val="2"/>
      </rPr>
      <t>Director, Disability Support Programs **</t>
    </r>
  </si>
  <si>
    <r>
      <rPr>
        <sz val="10"/>
        <rFont val="Arial"/>
        <family val="2"/>
      </rPr>
      <t>Director, Disabled Student Programs and Services</t>
    </r>
  </si>
  <si>
    <r>
      <rPr>
        <sz val="10"/>
        <rFont val="Arial"/>
        <family val="2"/>
      </rPr>
      <t>Director, Facilities Maintenance and Operations</t>
    </r>
  </si>
  <si>
    <r>
      <rPr>
        <sz val="10"/>
        <rFont val="Arial"/>
        <family val="2"/>
      </rPr>
      <t>Director, First Year Experience **</t>
    </r>
  </si>
  <si>
    <r>
      <rPr>
        <sz val="10"/>
        <rFont val="Arial"/>
        <family val="2"/>
      </rPr>
      <t>Director, Foster and Kinship Care Education Program **</t>
    </r>
  </si>
  <si>
    <r>
      <rPr>
        <sz val="10"/>
        <rFont val="Arial"/>
        <family val="2"/>
      </rPr>
      <t>Director, Human Resources &amp; Employee Relations</t>
    </r>
  </si>
  <si>
    <r>
      <rPr>
        <sz val="10"/>
        <rFont val="Arial"/>
        <family val="2"/>
      </rPr>
      <t>Director, Institutional Research</t>
    </r>
  </si>
  <si>
    <r>
      <rPr>
        <sz val="10"/>
        <rFont val="Arial"/>
        <family val="2"/>
      </rPr>
      <t>Director, Learning Resource Center</t>
    </r>
  </si>
  <si>
    <r>
      <rPr>
        <sz val="10"/>
        <rFont val="Arial"/>
        <family val="2"/>
      </rPr>
      <t>Director, Open Campus</t>
    </r>
  </si>
  <si>
    <r>
      <rPr>
        <sz val="10"/>
        <rFont val="Arial"/>
        <family val="2"/>
      </rPr>
      <t>Director, Pathways to Excellence (Title V) **</t>
    </r>
  </si>
  <si>
    <r>
      <rPr>
        <sz val="10"/>
        <rFont val="Arial"/>
        <family val="2"/>
      </rPr>
      <t>Director, Sports Information</t>
    </r>
  </si>
  <si>
    <r>
      <rPr>
        <sz val="10"/>
        <rFont val="Arial"/>
        <family val="2"/>
      </rPr>
      <t>Director, Student Access and Equity Support Programs **</t>
    </r>
  </si>
  <si>
    <r>
      <rPr>
        <sz val="10"/>
        <rFont val="Arial"/>
        <family val="2"/>
      </rPr>
      <t>Director, Student Support Services Grant **</t>
    </r>
  </si>
  <si>
    <r>
      <rPr>
        <sz val="10"/>
        <rFont val="Arial"/>
        <family val="2"/>
      </rPr>
      <t>Director, Title III STEM Grant **</t>
    </r>
  </si>
  <si>
    <r>
      <rPr>
        <sz val="10"/>
        <rFont val="Arial"/>
        <family val="2"/>
      </rPr>
      <t>Director, TRiO Programs</t>
    </r>
  </si>
  <si>
    <r>
      <rPr>
        <sz val="10"/>
        <rFont val="Arial"/>
        <family val="2"/>
      </rPr>
      <t>Director, Tritech Small Business Development Center</t>
    </r>
  </si>
  <si>
    <r>
      <rPr>
        <sz val="10"/>
        <rFont val="Arial"/>
        <family val="2"/>
      </rPr>
      <t>Director, Upward Bound Math and Science **</t>
    </r>
  </si>
  <si>
    <r>
      <rPr>
        <sz val="10"/>
        <rFont val="Arial"/>
        <family val="2"/>
      </rPr>
      <t>Director, Upward Bound Program **</t>
    </r>
  </si>
  <si>
    <r>
      <rPr>
        <sz val="10"/>
        <rFont val="Arial"/>
        <family val="2"/>
      </rPr>
      <t>District Compliance Officer</t>
    </r>
  </si>
  <si>
    <r>
      <rPr>
        <sz val="10"/>
        <rFont val="Arial"/>
        <family val="2"/>
      </rPr>
      <t>AA</t>
    </r>
  </si>
  <si>
    <r>
      <rPr>
        <sz val="10"/>
        <rFont val="Arial"/>
        <family val="2"/>
      </rPr>
      <t>District Foundation Executive Director</t>
    </r>
  </si>
  <si>
    <r>
      <rPr>
        <sz val="10"/>
        <rFont val="Arial"/>
        <family val="2"/>
      </rPr>
      <t>Early Childhood Education Center Manager</t>
    </r>
  </si>
  <si>
    <r>
      <rPr>
        <sz val="10"/>
        <rFont val="Arial"/>
        <family val="2"/>
      </rPr>
      <t>Executive Director, Hospitality and Culinary Arts</t>
    </r>
  </si>
  <si>
    <r>
      <rPr>
        <sz val="10"/>
        <rFont val="Arial"/>
        <family val="2"/>
      </rPr>
      <t>Facilities Development Director</t>
    </r>
  </si>
  <si>
    <r>
      <rPr>
        <sz val="10"/>
        <rFont val="Arial"/>
        <family val="2"/>
      </rPr>
      <t>Grounds Supervisor *</t>
    </r>
  </si>
  <si>
    <r>
      <rPr>
        <sz val="10"/>
        <rFont val="Arial"/>
        <family val="2"/>
      </rPr>
      <t>Maintenance Manager</t>
    </r>
  </si>
  <si>
    <r>
      <rPr>
        <sz val="10"/>
        <rFont val="Arial"/>
        <family val="2"/>
      </rPr>
      <t>Manager, Facilities, Grounds and Utilization</t>
    </r>
  </si>
  <si>
    <r>
      <rPr>
        <sz val="10"/>
        <rFont val="Arial"/>
        <family val="2"/>
      </rPr>
      <t>Manager, Technology Support Services</t>
    </r>
  </si>
  <si>
    <r>
      <rPr>
        <sz val="10"/>
        <rFont val="Arial"/>
        <family val="2"/>
      </rPr>
      <t>Mental Health Services Supervisor *</t>
    </r>
  </si>
  <si>
    <r>
      <rPr>
        <sz val="10"/>
        <rFont val="Arial"/>
        <family val="2"/>
      </rPr>
      <t>Outreach Services Supervisor *</t>
    </r>
  </si>
  <si>
    <r>
      <rPr>
        <sz val="10"/>
        <rFont val="Arial"/>
        <family val="2"/>
      </rPr>
      <t>Pathways Director</t>
    </r>
  </si>
  <si>
    <r>
      <rPr>
        <sz val="10"/>
        <rFont val="Arial"/>
        <family val="2"/>
      </rPr>
      <t>Program Director, Student Support Services **</t>
    </r>
  </si>
  <si>
    <r>
      <rPr>
        <sz val="10"/>
        <rFont val="Arial"/>
        <family val="2"/>
      </rPr>
      <t>Research and Assessment Manager</t>
    </r>
  </si>
  <si>
    <r>
      <rPr>
        <sz val="10"/>
        <rFont val="Arial"/>
        <family val="2"/>
      </rPr>
      <t>Service Desk Manager</t>
    </r>
  </si>
  <si>
    <r>
      <rPr>
        <sz val="10"/>
        <rFont val="Arial"/>
        <family val="2"/>
      </rPr>
      <t>Vice President, Planning and Development</t>
    </r>
  </si>
  <si>
    <r>
      <rPr>
        <sz val="10"/>
        <rFont val="Arial"/>
        <family val="2"/>
      </rPr>
      <t>Accounts Payable Clerk</t>
    </r>
  </si>
  <si>
    <r>
      <rPr>
        <sz val="10"/>
        <rFont val="Arial"/>
        <family val="2"/>
      </rPr>
      <t>Accounts Payable Specialist</t>
    </r>
  </si>
  <si>
    <r>
      <rPr>
        <sz val="10"/>
        <rFont val="Arial"/>
        <family val="2"/>
      </rPr>
      <t>Assistant to the Coordinator, International Education Program</t>
    </r>
  </si>
  <si>
    <r>
      <rPr>
        <sz val="10"/>
        <rFont val="Arial"/>
        <family val="2"/>
      </rPr>
      <t>Benefits Clerk</t>
    </r>
  </si>
  <si>
    <r>
      <rPr>
        <sz val="10"/>
        <rFont val="Arial"/>
        <family val="2"/>
      </rPr>
      <t>CalWorks Specialist</t>
    </r>
  </si>
  <si>
    <r>
      <rPr>
        <sz val="10"/>
        <rFont val="Arial"/>
        <family val="2"/>
      </rPr>
      <t>Career and Technical Education Projects Specialist</t>
    </r>
  </si>
  <si>
    <r>
      <rPr>
        <sz val="10"/>
        <rFont val="Arial"/>
        <family val="2"/>
      </rPr>
      <t>Casualty Claims Coordinator</t>
    </r>
  </si>
  <si>
    <r>
      <rPr>
        <sz val="10"/>
        <rFont val="Arial"/>
        <family val="2"/>
      </rPr>
      <t>Clinical Licensed Vocational Nurse</t>
    </r>
  </si>
  <si>
    <r>
      <rPr>
        <sz val="10"/>
        <rFont val="Arial"/>
        <family val="2"/>
      </rPr>
      <t>College Safety &amp; Emergency Planning Coordinator</t>
    </r>
  </si>
  <si>
    <r>
      <rPr>
        <sz val="10"/>
        <rFont val="Arial"/>
        <family val="2"/>
      </rPr>
      <t>Customer Service Clerk</t>
    </r>
  </si>
  <si>
    <r>
      <rPr>
        <sz val="10"/>
        <rFont val="Arial"/>
        <family val="2"/>
      </rPr>
      <t>Dental Education Center Administrative Assistant</t>
    </r>
  </si>
  <si>
    <r>
      <rPr>
        <sz val="10"/>
        <rFont val="Arial"/>
        <family val="2"/>
      </rPr>
      <t>Disability Specialist</t>
    </r>
  </si>
  <si>
    <r>
      <rPr>
        <sz val="10"/>
        <rFont val="Arial"/>
        <family val="2"/>
      </rPr>
      <t>Disability Specialist/Workability III</t>
    </r>
  </si>
  <si>
    <r>
      <rPr>
        <sz val="10"/>
        <rFont val="Arial"/>
        <family val="2"/>
      </rPr>
      <t>Disability Technology Specialist</t>
    </r>
  </si>
  <si>
    <r>
      <rPr>
        <sz val="10"/>
        <rFont val="Arial"/>
        <family val="2"/>
      </rPr>
      <t>Early Childhood Education Program Specialist</t>
    </r>
  </si>
  <si>
    <r>
      <rPr>
        <sz val="10"/>
        <rFont val="Arial"/>
        <family val="2"/>
      </rPr>
      <t>Facilities Administrative and Utilization Specialist</t>
    </r>
  </si>
  <si>
    <r>
      <rPr>
        <sz val="10"/>
        <rFont val="Arial"/>
        <family val="2"/>
      </rPr>
      <t>Facility Access &amp; Utilization Coordinator</t>
    </r>
  </si>
  <si>
    <r>
      <rPr>
        <sz val="10"/>
        <rFont val="Arial"/>
        <family val="2"/>
      </rPr>
      <t>Financial and Technical Analyst</t>
    </r>
  </si>
  <si>
    <r>
      <rPr>
        <sz val="10"/>
        <rFont val="Arial"/>
        <family val="2"/>
      </rPr>
      <t>Foster Youth Specialist</t>
    </r>
  </si>
  <si>
    <r>
      <rPr>
        <sz val="10"/>
        <rFont val="Arial"/>
        <family val="2"/>
      </rPr>
      <t>Foundation Administrative Technician</t>
    </r>
  </si>
  <si>
    <r>
      <rPr>
        <sz val="10"/>
        <rFont val="Arial"/>
        <family val="2"/>
      </rPr>
      <t>Human Resources Generalist</t>
    </r>
  </si>
  <si>
    <r>
      <rPr>
        <sz val="10"/>
        <rFont val="Arial"/>
        <family val="2"/>
      </rPr>
      <t>Human Resources Specialist I</t>
    </r>
  </si>
  <si>
    <r>
      <rPr>
        <sz val="10"/>
        <rFont val="Arial"/>
        <family val="2"/>
      </rPr>
      <t>Library Network/Web Development</t>
    </r>
  </si>
  <si>
    <r>
      <rPr>
        <sz val="10"/>
        <rFont val="Arial"/>
        <family val="2"/>
      </rPr>
      <t>Marketing and Media Technician</t>
    </r>
  </si>
  <si>
    <r>
      <rPr>
        <sz val="10"/>
        <rFont val="Arial"/>
        <family val="2"/>
      </rPr>
      <t>Medical Administrative Assistant</t>
    </r>
  </si>
  <si>
    <r>
      <rPr>
        <sz val="10"/>
        <rFont val="Arial"/>
        <family val="2"/>
      </rPr>
      <t>MESA Program Coordinator</t>
    </r>
  </si>
  <si>
    <r>
      <rPr>
        <sz val="10"/>
        <rFont val="Arial"/>
        <family val="2"/>
      </rPr>
      <t>Multi-Media Graphic Artist/Web Technician</t>
    </r>
  </si>
  <si>
    <r>
      <rPr>
        <sz val="10"/>
        <rFont val="Arial"/>
        <family val="2"/>
      </rPr>
      <t>Outreach Specialist/Upward Bound</t>
    </r>
  </si>
  <si>
    <r>
      <rPr>
        <sz val="10"/>
        <rFont val="Arial"/>
        <family val="2"/>
      </rPr>
      <t>Payroll Technician</t>
    </r>
  </si>
  <si>
    <r>
      <rPr>
        <sz val="10"/>
        <rFont val="Arial"/>
        <family val="2"/>
      </rPr>
      <t>Placement and Tutorial Services Coordinator</t>
    </r>
  </si>
  <si>
    <r>
      <rPr>
        <sz val="10"/>
        <rFont val="Arial"/>
        <family val="2"/>
      </rPr>
      <t>Placement Coordinator</t>
    </r>
  </si>
  <si>
    <r>
      <rPr>
        <sz val="10"/>
        <rFont val="Arial"/>
        <family val="2"/>
      </rPr>
      <t>Planner, Capital and Facilities</t>
    </r>
  </si>
  <si>
    <r>
      <rPr>
        <sz val="10"/>
        <rFont val="Arial"/>
        <family val="2"/>
      </rPr>
      <t>Program Specialist, Fine &amp; Performing Arts</t>
    </r>
  </si>
  <si>
    <r>
      <rPr>
        <sz val="10"/>
        <rFont val="Arial"/>
        <family val="2"/>
      </rPr>
      <t>Revenue/Accounts Receivable Specialist</t>
    </r>
  </si>
  <si>
    <r>
      <rPr>
        <sz val="10"/>
        <rFont val="Arial"/>
        <family val="2"/>
      </rPr>
      <t>Senior Public Affairs Officer</t>
    </r>
  </si>
  <si>
    <r>
      <rPr>
        <sz val="10"/>
        <rFont val="Arial"/>
        <family val="2"/>
      </rPr>
      <t>STEM Services Developer</t>
    </r>
  </si>
  <si>
    <r>
      <rPr>
        <sz val="10"/>
        <rFont val="Arial"/>
        <family val="2"/>
      </rPr>
      <t>STEM Student Success Center Coordinator</t>
    </r>
  </si>
  <si>
    <r>
      <rPr>
        <sz val="10"/>
        <rFont val="Arial"/>
        <family val="2"/>
      </rPr>
      <t>Student Activities Clerk</t>
    </r>
  </si>
  <si>
    <r>
      <rPr>
        <sz val="10"/>
        <rFont val="Arial"/>
        <family val="2"/>
      </rPr>
      <t>Student Financial Services Lead Analyst</t>
    </r>
  </si>
  <si>
    <r>
      <rPr>
        <sz val="10"/>
        <rFont val="Arial"/>
        <family val="2"/>
      </rPr>
      <t>Student Financial Services Support Specialist</t>
    </r>
  </si>
  <si>
    <r>
      <rPr>
        <sz val="10"/>
        <rFont val="Arial"/>
        <family val="2"/>
      </rPr>
      <t>Student Success Coach</t>
    </r>
  </si>
  <si>
    <r>
      <rPr>
        <sz val="10"/>
        <rFont val="Arial"/>
        <family val="2"/>
      </rPr>
      <t>Theater Sound Specialist</t>
    </r>
  </si>
  <si>
    <r>
      <rPr>
        <sz val="10"/>
        <rFont val="Arial"/>
        <family val="2"/>
      </rPr>
      <t>Upward Bound Program Assistant</t>
    </r>
  </si>
  <si>
    <r>
      <rPr>
        <sz val="10"/>
        <rFont val="Arial"/>
        <family val="2"/>
      </rPr>
      <t>Veterans Services Coordinator</t>
    </r>
  </si>
  <si>
    <r>
      <rPr>
        <sz val="10"/>
        <rFont val="Arial"/>
        <family val="2"/>
      </rPr>
      <t>Web Applications Developer</t>
    </r>
  </si>
  <si>
    <r>
      <rPr>
        <sz val="10"/>
        <rFont val="Arial"/>
        <family val="2"/>
      </rPr>
      <t>Web Applications Technician</t>
    </r>
  </si>
  <si>
    <t>Building Summary Report (2017 - 2018)</t>
  </si>
  <si>
    <t>960 - Riverside Community College District</t>
  </si>
  <si>
    <t>Campus</t>
  </si>
  <si>
    <t>Bldg #</t>
  </si>
  <si>
    <t>Year Built</t>
  </si>
  <si>
    <t>Rooms</t>
  </si>
  <si>
    <t>Stations</t>
  </si>
  <si>
    <t>ASF</t>
  </si>
  <si>
    <t>OGSF</t>
  </si>
  <si>
    <t>Efficiency</t>
  </si>
  <si>
    <t>Ownership</t>
  </si>
  <si>
    <t>Constuction</t>
  </si>
  <si>
    <t>Plan</t>
  </si>
  <si>
    <t>963 - Norco College</t>
  </si>
  <si>
    <t>STUDENT SERVICES - A</t>
  </si>
  <si>
    <t>1991</t>
  </si>
  <si>
    <t>Owned in fee simple</t>
  </si>
  <si>
    <t>Fire resistive - Concrete</t>
  </si>
  <si>
    <t>P</t>
  </si>
  <si>
    <t>SCIENCE &amp; TECHNOLOGY - B</t>
  </si>
  <si>
    <t>THEATER - C</t>
  </si>
  <si>
    <t>HUMANITIES - D</t>
  </si>
  <si>
    <t>COLLEGE RESOURCE CTR - E</t>
  </si>
  <si>
    <t>CENTRAL PLANT F1</t>
  </si>
  <si>
    <t>FACILITIES M1</t>
  </si>
  <si>
    <t>Ordinary Masonry</t>
  </si>
  <si>
    <t>FACILITIES M2</t>
  </si>
  <si>
    <t>LIBRARY (AIREY) - G</t>
  </si>
  <si>
    <t>1995</t>
  </si>
  <si>
    <t>APPLIED TECH - N</t>
  </si>
  <si>
    <t>CENTRAL PLANT F2</t>
  </si>
  <si>
    <t>1994</t>
  </si>
  <si>
    <t>BOOKSTORE - I</t>
  </si>
  <si>
    <t>1999</t>
  </si>
  <si>
    <t>CTR. APPLIED &amp; COMP TECH - K</t>
  </si>
  <si>
    <t>MULTI-PURPOSE W1 &amp; W2 - L</t>
  </si>
  <si>
    <t>2002</t>
  </si>
  <si>
    <t>Wood Frame</t>
  </si>
  <si>
    <t>STEM CENTER 100 - H</t>
  </si>
  <si>
    <t>2004</t>
  </si>
  <si>
    <t>Light Incombustible Frame</t>
  </si>
  <si>
    <t>PORTABLE A - P</t>
  </si>
  <si>
    <t>2005</t>
  </si>
  <si>
    <t>PORTABLE B - P</t>
  </si>
  <si>
    <t>WEST END QUAD W9 - L</t>
  </si>
  <si>
    <t>2007</t>
  </si>
  <si>
    <t>INDUSTRIAL TECH - Q</t>
  </si>
  <si>
    <t>2009</t>
  </si>
  <si>
    <t>SOCCER LKR RM WM 1 - R</t>
  </si>
  <si>
    <t>2010</t>
  </si>
  <si>
    <t>SOCCER LKR RM MN 2 - R</t>
  </si>
  <si>
    <t>CTR FOR STU SUCCESS - S</t>
  </si>
  <si>
    <t>WEST END QUAD W8 - L</t>
  </si>
  <si>
    <t>OPERATIONS - T</t>
  </si>
  <si>
    <t>2013</t>
  </si>
  <si>
    <t>STEM CENTER 300 - J</t>
  </si>
  <si>
    <t>STEM CENTER 200 - J</t>
  </si>
  <si>
    <t>WEST END QUAD W3 - L</t>
  </si>
  <si>
    <t>WEST END QUAD W4 - L</t>
  </si>
  <si>
    <t>WEST END QUAD W5 - L</t>
  </si>
  <si>
    <t>WEST END QUAD W6 - L</t>
  </si>
  <si>
    <t>WEST END QUAD W7 - L</t>
  </si>
  <si>
    <t>HAZMAT BUILDING @ M1</t>
  </si>
  <si>
    <t>2006</t>
  </si>
  <si>
    <t>GROUNDS STORAGE SHED</t>
  </si>
  <si>
    <t>2001</t>
  </si>
  <si>
    <t>CACT STORAGE</t>
  </si>
  <si>
    <t>SOCCER STORAGE</t>
  </si>
  <si>
    <t>WEST END QUAD STORAGE</t>
  </si>
  <si>
    <t>WEST END QUAD RESTROOMS</t>
  </si>
  <si>
    <t>Network Operation Ctr-21</t>
  </si>
  <si>
    <t>Elevator Tower @ SCI</t>
  </si>
  <si>
    <t>Dental Ed Mechanical 1</t>
  </si>
  <si>
    <t>Dental Ed Mechanical 2</t>
  </si>
  <si>
    <t>Hazmat Building</t>
  </si>
  <si>
    <t>INFO SERVICES TELECOM</t>
  </si>
  <si>
    <t>CENT. PLAZA DISTRICT OFF</t>
  </si>
  <si>
    <t>CARRIAGE HOUSE</t>
  </si>
  <si>
    <t>LOVEKIN COMPLEX #3</t>
  </si>
  <si>
    <r>
      <rPr>
        <sz val="8"/>
        <rFont val="Arial"/>
        <family val="2"/>
      </rPr>
      <t>QUADRANGLE (PAUL) - 3</t>
    </r>
  </si>
  <si>
    <r>
      <rPr>
        <sz val="8"/>
        <rFont val="Arial"/>
        <family val="2"/>
      </rPr>
      <t>STADIUM (WHEELOCK FIELD) - 21</t>
    </r>
  </si>
  <si>
    <r>
      <rPr>
        <sz val="8"/>
        <rFont val="Arial"/>
        <family val="2"/>
      </rPr>
      <t>GYMNASIUM (WHEELOCK) - 20</t>
    </r>
  </si>
  <si>
    <r>
      <rPr>
        <sz val="8"/>
        <rFont val="Arial"/>
        <family val="2"/>
      </rPr>
      <t>FACILITIES MAINT. &amp; OPS - 33</t>
    </r>
  </si>
  <si>
    <r>
      <rPr>
        <sz val="8"/>
        <rFont val="Arial"/>
        <family val="2"/>
      </rPr>
      <t>MAINTENANCE PT SHOP</t>
    </r>
  </si>
  <si>
    <r>
      <rPr>
        <sz val="8"/>
        <rFont val="Arial"/>
        <family val="2"/>
      </rPr>
      <t>TECHNOLOGY A - 27</t>
    </r>
  </si>
  <si>
    <r>
      <rPr>
        <sz val="8"/>
        <rFont val="Arial"/>
        <family val="2"/>
      </rPr>
      <t>TECHNOLOGY B - 26</t>
    </r>
  </si>
  <si>
    <r>
      <rPr>
        <sz val="8"/>
        <rFont val="Arial"/>
        <family val="2"/>
      </rPr>
      <t>CESAR CHAVEZ (INACTIVE) - 15</t>
    </r>
  </si>
  <si>
    <r>
      <rPr>
        <sz val="8"/>
        <rFont val="Arial"/>
        <family val="2"/>
      </rPr>
      <t>LANDIS PERFORMING ARTS CTR - 7</t>
    </r>
  </si>
  <si>
    <r>
      <rPr>
        <sz val="8"/>
        <rFont val="Arial"/>
        <family val="2"/>
      </rPr>
      <t>MUSIC - 5</t>
    </r>
  </si>
  <si>
    <r>
      <rPr>
        <sz val="8"/>
        <rFont val="Arial"/>
        <family val="2"/>
      </rPr>
      <t>ART - 19</t>
    </r>
  </si>
  <si>
    <r>
      <rPr>
        <sz val="8"/>
        <rFont val="Arial"/>
        <family val="2"/>
      </rPr>
      <t>GYMNASIUM (HUNTLEY) - 30</t>
    </r>
  </si>
  <si>
    <r>
      <rPr>
        <sz val="8"/>
        <rFont val="Arial"/>
        <family val="2"/>
      </rPr>
      <t>WAREHOUSE - 32</t>
    </r>
  </si>
  <si>
    <r>
      <rPr>
        <sz val="8"/>
        <rFont val="Arial"/>
        <family val="2"/>
      </rPr>
      <t>ADMINISTRATION (NOBLE) - 2B</t>
    </r>
  </si>
  <si>
    <r>
      <rPr>
        <sz val="8"/>
        <rFont val="Arial"/>
        <family val="2"/>
      </rPr>
      <t>COSMETOLOGY - 34</t>
    </r>
  </si>
  <si>
    <r>
      <rPr>
        <sz val="8"/>
        <rFont val="Arial"/>
        <family val="2"/>
      </rPr>
      <t>CUTTER POOL (INACTIVE)</t>
    </r>
  </si>
  <si>
    <r>
      <rPr>
        <sz val="8"/>
        <rFont val="Arial"/>
        <family val="2"/>
      </rPr>
      <t>LIFE SCIENCE (INACTIVE)</t>
    </r>
  </si>
  <si>
    <r>
      <rPr>
        <sz val="8"/>
        <rFont val="Arial"/>
        <family val="2"/>
      </rPr>
      <t>MLK HIGH TECH CNTR - 8</t>
    </r>
  </si>
  <si>
    <r>
      <rPr>
        <sz val="8"/>
        <rFont val="Arial"/>
        <family val="2"/>
      </rPr>
      <t>PHYSICAL SCIENCE (INACTIVE)</t>
    </r>
  </si>
  <si>
    <r>
      <rPr>
        <sz val="8"/>
        <rFont val="Arial"/>
        <family val="2"/>
      </rPr>
      <t>PLANETARIUM (DIXON) - 10</t>
    </r>
  </si>
  <si>
    <r>
      <rPr>
        <sz val="8"/>
        <rFont val="Arial"/>
        <family val="2"/>
      </rPr>
      <t>STUDENT CTR (BRADSHAW) - 13</t>
    </r>
  </si>
  <si>
    <r>
      <rPr>
        <sz val="8"/>
        <rFont val="Arial"/>
        <family val="2"/>
      </rPr>
      <t>CERAMICS - 18</t>
    </r>
  </si>
  <si>
    <r>
      <rPr>
        <sz val="8"/>
        <rFont val="Arial"/>
        <family val="2"/>
      </rPr>
      <t>AUTOMOTIVE TECH - 28</t>
    </r>
  </si>
  <si>
    <t>EARLY CHILDHOOD ED - 17</t>
  </si>
  <si>
    <t>BUSINESS EDUCATION (PAUW) - 4</t>
  </si>
  <si>
    <t>EQUIPMENT STORAGE (M&amp;O)</t>
  </si>
  <si>
    <t>VIEWPOINTS - 9</t>
  </si>
  <si>
    <t>MUSIC HALL (STOVER) - 6</t>
  </si>
  <si>
    <t>PILATES STUDIO (CRABTREE) - 31</t>
  </si>
  <si>
    <t>DIGITAL LIBRARY - 1</t>
  </si>
  <si>
    <t>LOVEKIN COMPLEX #01 - 29</t>
  </si>
  <si>
    <t>STORAGE BLDG. BRADSHAW - 13A</t>
  </si>
  <si>
    <t>ASRCC STUDENT GOVT - 13A</t>
  </si>
  <si>
    <t>EVALUATIONS - 15A</t>
  </si>
  <si>
    <t>LANDIS ANNEX - 7A</t>
  </si>
  <si>
    <t>PARKING STRUCTURE - 36</t>
  </si>
  <si>
    <t>CENTER SOCIAL JUSTICE</t>
  </si>
  <si>
    <t>EVANS SPRTS CMPLX A BSBL</t>
  </si>
  <si>
    <t>EVANS SPRTS CMPLX B SFBL</t>
  </si>
  <si>
    <t>EVANS SPRTS CMPLX C LTLL</t>
  </si>
  <si>
    <t>EVANS SPRTS CMPLX D GRND</t>
  </si>
  <si>
    <t>STOKOE ILC (INACTIVE)</t>
  </si>
  <si>
    <t>AQUATICS COMPLEX - 25</t>
  </si>
  <si>
    <t>MATH/SCIENCE MECH BLDG - 12</t>
  </si>
  <si>
    <t>HAZMAT BUILDING</t>
  </si>
  <si>
    <t>ECD ANNEX (Portable H1) - 17</t>
  </si>
  <si>
    <t>Mod @ 161 BB (EVANS)</t>
  </si>
  <si>
    <t>Mod@ 162 SB (EVANS)</t>
  </si>
  <si>
    <t>Dugout#1@161 BB</t>
  </si>
  <si>
    <t>Dugout#2@161 BB</t>
  </si>
  <si>
    <t>Dugout#1@162 SB</t>
  </si>
  <si>
    <t>Dugout#2@162 SB</t>
  </si>
  <si>
    <t>Dugout#1@163 LL</t>
  </si>
  <si>
    <t>Dugout#2@163 LL</t>
  </si>
  <si>
    <t>MUSIC ANNEX - 5A</t>
  </si>
  <si>
    <t>MATH &amp; SCIENCE - 12</t>
  </si>
  <si>
    <t>CULINARY ARTS ACADEMY</t>
  </si>
  <si>
    <t>PARKING STRUCTURE - CSA</t>
  </si>
  <si>
    <t>COIL SCHOOL OF ARTS</t>
  </si>
  <si>
    <t>STUDENT SRVS/ADMIN (KANE) - 2A</t>
  </si>
  <si>
    <t>ELEV. TOWER #1 ART</t>
  </si>
  <si>
    <t>ELEV. TOWER  #2 - WHEELOCK</t>
  </si>
  <si>
    <t>ELEV. TOWER #3 - TECH A / B</t>
  </si>
  <si>
    <t>CUTTER MECHANICAL</t>
  </si>
  <si>
    <t>AQUATICS COMPLEX MECH - 25</t>
  </si>
  <si>
    <t>AQUATICS COMPLEX STORAGE - 25</t>
  </si>
  <si>
    <t>STADIUM RESTROOM PORTABLE #1</t>
  </si>
  <si>
    <t>EARLY CHILDHOOD MECH - 17</t>
  </si>
  <si>
    <t>ELEV. TOWER #4-BRADSHAW</t>
  </si>
  <si>
    <t>SCHOOL OF NURSING - 11</t>
  </si>
  <si>
    <t>LOVEKIN COMPLEX #B1 - 29</t>
  </si>
  <si>
    <t>LOVEKIN COMPLEX #02 - 29</t>
  </si>
  <si>
    <t>LOVEKIN COMPLEX #10 - 29</t>
  </si>
  <si>
    <t>LOVEKIN COMPLEX #12 - 29</t>
  </si>
  <si>
    <t>LOVEKIN COMPLEX #13 - 29</t>
  </si>
  <si>
    <t>LOVEKIN COMPLEX #14 - 29</t>
  </si>
  <si>
    <t>STADIUM RESTROOM PORTABLE #2</t>
  </si>
  <si>
    <t>LOVEKIN COMPLEX #11 - 29</t>
  </si>
  <si>
    <t>AUTOTECH STORAGE</t>
  </si>
  <si>
    <t>EQUIPMENT STORAGE(M&amp;O)2</t>
  </si>
  <si>
    <t>EQUIPMENT STORAGE(M&amp;O)3</t>
  </si>
  <si>
    <t>STORAGE(LIFE SCIENCE)</t>
  </si>
  <si>
    <t>MLK DATA BUILDING</t>
  </si>
  <si>
    <t>FY 2016-17</t>
  </si>
  <si>
    <t>Per Space Inventory FY 2016-17</t>
  </si>
  <si>
    <t>Add District Offices (Riverside provides maintenance/operations) ***</t>
  </si>
  <si>
    <t>5-Year Average Cost Per Section</t>
  </si>
  <si>
    <t>2017/2018</t>
  </si>
  <si>
    <t>Enter FTE Load</t>
  </si>
  <si>
    <t>GSF per FUSION labled as Outside Square Feet (FY 16/17)</t>
  </si>
  <si>
    <r>
      <rPr>
        <b/>
        <sz val="10"/>
        <rFont val="Arial"/>
        <family val="2"/>
      </rPr>
      <t>Grade</t>
    </r>
  </si>
  <si>
    <r>
      <rPr>
        <b/>
        <sz val="10"/>
        <rFont val="Arial"/>
        <family val="2"/>
      </rPr>
      <t>Market Step 5</t>
    </r>
  </si>
  <si>
    <r>
      <rPr>
        <sz val="10"/>
        <rFont val="Arial"/>
        <family val="2"/>
      </rPr>
      <t>Assistant Director, Upward Bound</t>
    </r>
  </si>
  <si>
    <r>
      <rPr>
        <sz val="10"/>
        <rFont val="Arial"/>
        <family val="2"/>
      </rPr>
      <t>Associate Vice Chancellor, Facilities Planning &amp; Development</t>
    </r>
  </si>
  <si>
    <r>
      <rPr>
        <sz val="10"/>
        <rFont val="Arial"/>
        <family val="2"/>
      </rPr>
      <t>Director, Administrative Applications</t>
    </r>
  </si>
  <si>
    <r>
      <rPr>
        <sz val="10"/>
        <rFont val="Arial"/>
        <family val="2"/>
      </rPr>
      <t>Director, Career Center</t>
    </r>
  </si>
  <si>
    <r>
      <rPr>
        <sz val="10"/>
        <rFont val="Arial"/>
        <family val="2"/>
      </rPr>
      <t>Director, Next Phase Program</t>
    </r>
  </si>
  <si>
    <r>
      <rPr>
        <sz val="10"/>
        <rFont val="Arial"/>
        <family val="2"/>
      </rPr>
      <t>Director, STEM Innovation Center/Maker Space (HIS Title III/STEM Grant)</t>
    </r>
  </si>
  <si>
    <r>
      <rPr>
        <sz val="10"/>
        <rFont val="Arial"/>
        <family val="2"/>
      </rPr>
      <t>Director, Strong Workforce Strategic Communications and Marketing</t>
    </r>
  </si>
  <si>
    <r>
      <rPr>
        <sz val="10"/>
        <rFont val="Arial"/>
        <family val="2"/>
      </rPr>
      <t>Director, Veterans Resource Center</t>
    </r>
  </si>
  <si>
    <r>
      <rPr>
        <sz val="10"/>
        <rFont val="Arial"/>
        <family val="2"/>
      </rPr>
      <t>Executive Director, Adult Education and Community Initiatives</t>
    </r>
  </si>
  <si>
    <r>
      <rPr>
        <sz val="10"/>
        <rFont val="Arial"/>
        <family val="2"/>
      </rPr>
      <t>Executive Director, Corporate and Business Innovation</t>
    </r>
  </si>
  <si>
    <r>
      <rPr>
        <sz val="10"/>
        <rFont val="Arial"/>
        <family val="2"/>
      </rPr>
      <t>Executive Director, Hospitality Program</t>
    </r>
  </si>
  <si>
    <r>
      <rPr>
        <sz val="10"/>
        <rFont val="Arial"/>
        <family val="2"/>
      </rPr>
      <t>Makerspace Project Supervisor</t>
    </r>
  </si>
  <si>
    <r>
      <rPr>
        <sz val="10"/>
        <rFont val="Arial"/>
        <family val="2"/>
      </rPr>
      <t>Program Director, NSF National Center for Supply Chain Automation</t>
    </r>
  </si>
  <si>
    <r>
      <rPr>
        <sz val="10"/>
        <rFont val="Arial"/>
        <family val="2"/>
      </rPr>
      <t>Project Director, Foster Youth Support Network</t>
    </r>
  </si>
  <si>
    <t>Fixed Cost</t>
  </si>
  <si>
    <t>Fixed Cost Rate</t>
  </si>
  <si>
    <t>PERS</t>
  </si>
  <si>
    <t>FICA</t>
  </si>
  <si>
    <t>Medicare</t>
  </si>
  <si>
    <t>OPEB*</t>
  </si>
  <si>
    <t>Perm Classified Fixed Cost (on PERS)</t>
  </si>
  <si>
    <t>Certificated Fixed Cost (on STRS)</t>
  </si>
  <si>
    <t>Classified Hourly Fixed Cost (on PARS)</t>
  </si>
  <si>
    <t>Student Employee</t>
  </si>
  <si>
    <t>Health and Welfare</t>
  </si>
  <si>
    <t>Delta Dental</t>
  </si>
  <si>
    <t>Jefferson</t>
  </si>
  <si>
    <t>Health Net Family</t>
  </si>
  <si>
    <t>RCCD</t>
  </si>
  <si>
    <t>Kaiser Family</t>
  </si>
  <si>
    <t>Annual Cost</t>
  </si>
  <si>
    <r>
      <rPr>
        <b/>
        <sz val="10"/>
        <color rgb="FFFFFFFF"/>
        <rFont val="Arial"/>
        <family val="2"/>
      </rPr>
      <t>Job Description Title</t>
    </r>
  </si>
  <si>
    <r>
      <rPr>
        <b/>
        <sz val="10"/>
        <color rgb="FFFFFFFF"/>
        <rFont val="Arial"/>
        <family val="2"/>
      </rPr>
      <t>Grade</t>
    </r>
  </si>
  <si>
    <r>
      <rPr>
        <b/>
        <sz val="10"/>
        <color rgb="FFFFFFFF"/>
        <rFont val="Arial"/>
        <family val="2"/>
      </rPr>
      <t>Step 1</t>
    </r>
  </si>
  <si>
    <r>
      <rPr>
        <b/>
        <sz val="10"/>
        <color rgb="FFFFFFFF"/>
        <rFont val="Arial"/>
        <family val="2"/>
      </rPr>
      <t>Step 2</t>
    </r>
  </si>
  <si>
    <r>
      <rPr>
        <b/>
        <sz val="10"/>
        <color rgb="FFFFFFFF"/>
        <rFont val="Arial"/>
        <family val="2"/>
      </rPr>
      <t>Step 3</t>
    </r>
  </si>
  <si>
    <r>
      <rPr>
        <b/>
        <sz val="10"/>
        <color rgb="FFFFFFFF"/>
        <rFont val="Arial"/>
        <family val="2"/>
      </rPr>
      <t>Step 4</t>
    </r>
  </si>
  <si>
    <r>
      <rPr>
        <b/>
        <sz val="10"/>
        <color rgb="FFFFFFFF"/>
        <rFont val="Arial"/>
        <family val="2"/>
      </rPr>
      <t>Step 5</t>
    </r>
  </si>
  <si>
    <r>
      <rPr>
        <sz val="10"/>
        <rFont val="Arial"/>
        <family val="2"/>
      </rPr>
      <t>Academic Success Coordinator, Athletics</t>
    </r>
  </si>
  <si>
    <r>
      <rPr>
        <sz val="10"/>
        <rFont val="Arial"/>
        <family val="2"/>
      </rPr>
      <t>Career and Technical Education Laboratory Technician</t>
    </r>
  </si>
  <si>
    <r>
      <rPr>
        <sz val="10"/>
        <rFont val="Arial"/>
        <family val="2"/>
      </rPr>
      <t>College Health Registered Nurse</t>
    </r>
  </si>
  <si>
    <r>
      <rPr>
        <sz val="10"/>
        <rFont val="Arial"/>
        <family val="2"/>
      </rPr>
      <t>College Support Services Technician</t>
    </r>
  </si>
  <si>
    <r>
      <rPr>
        <sz val="10"/>
        <rFont val="Arial"/>
        <family val="2"/>
      </rPr>
      <t>Educational Services Reemployment Specialist</t>
    </r>
  </si>
  <si>
    <r>
      <rPr>
        <sz val="10"/>
        <rFont val="Arial"/>
        <family val="2"/>
      </rPr>
      <t>Riverside Aquatics Complex Coordinator</t>
    </r>
  </si>
  <si>
    <r>
      <rPr>
        <sz val="10"/>
        <rFont val="Arial"/>
        <family val="2"/>
      </rPr>
      <t>SharePoint Solutions Architect</t>
    </r>
  </si>
  <si>
    <t>All Full Time Faculty are Costed at H-6 ($98,756)</t>
  </si>
  <si>
    <t>All Full Time Counselors/Librarians are Costed at H-6 ($104,367)</t>
  </si>
  <si>
    <r>
      <rPr>
        <sz val="14"/>
        <rFont val="Calibri"/>
        <family val="2"/>
      </rPr>
      <t xml:space="preserve">RCCD STUDENT EMPLOYMENT POSITION TITLES      </t>
    </r>
    <r>
      <rPr>
        <sz val="11"/>
        <rFont val="Calibri"/>
        <family val="2"/>
      </rPr>
      <t>(Effective July 1, 2018 - December 31, 2018)</t>
    </r>
  </si>
  <si>
    <r>
      <rPr>
        <b/>
        <sz val="10"/>
        <rFont val="Calibri"/>
        <family val="2"/>
      </rPr>
      <t>LEVELS</t>
    </r>
  </si>
  <si>
    <r>
      <rPr>
        <b/>
        <sz val="10"/>
        <rFont val="Calibri"/>
        <family val="2"/>
      </rPr>
      <t>DESCRIPTION</t>
    </r>
  </si>
  <si>
    <r>
      <rPr>
        <b/>
        <sz val="10"/>
        <rFont val="Calibri"/>
        <family val="2"/>
      </rPr>
      <t>EXAMPLES OF ASSIGNMENTS</t>
    </r>
  </si>
  <si>
    <r>
      <rPr>
        <b/>
        <sz val="10"/>
        <rFont val="Calibri"/>
        <family val="2"/>
      </rPr>
      <t>RATES OF PAY</t>
    </r>
  </si>
  <si>
    <r>
      <rPr>
        <sz val="10"/>
        <rFont val="Calibri"/>
        <family val="2"/>
      </rPr>
      <t>Student Aide I</t>
    </r>
  </si>
  <si>
    <r>
      <rPr>
        <sz val="10"/>
        <rFont val="Calibri"/>
        <family val="2"/>
      </rPr>
      <t xml:space="preserve">Performs   a   variety   of   unskilled   clerical
</t>
    </r>
    <r>
      <rPr>
        <sz val="10"/>
        <rFont val="Calibri"/>
        <family val="2"/>
      </rPr>
      <t>&amp;/or  manual  duties  for  a  specific  work area.    Work   is   performed   under   close supervision.  Work is assigned and student receives       detailed       instruction.        No experience  at  all  is  required.   Job  details are  learned  from  supervisor  or  classified staff members</t>
    </r>
  </si>
  <si>
    <r>
      <rPr>
        <sz val="10"/>
        <rFont val="Calibri"/>
        <family val="2"/>
      </rPr>
      <t>Food Services worker, area attendant, laborer, ticket taker, usher, locker room attendant, general clerk, Copy Room Attendant, mail distributor, Art gallery attendant, file clerk, Lab Aide, Instructional Aide, DSPS Aide, Student Clerk, IMC Aide, Journalism Aide, Circulation Aide, Library Aide, Student Ambassador, Health program Aide, Recital Assistant, Athletic Field Aide, Sports Program Aide, College Police Aides, lifeguard I</t>
    </r>
  </si>
  <si>
    <r>
      <rPr>
        <sz val="10"/>
        <rFont val="Calibri"/>
        <family val="2"/>
      </rPr>
      <t xml:space="preserve">$11.00 - $11.75
</t>
    </r>
    <r>
      <rPr>
        <sz val="10"/>
        <rFont val="Calibri"/>
        <family val="2"/>
      </rPr>
      <t>per hour</t>
    </r>
  </si>
  <si>
    <r>
      <rPr>
        <sz val="10"/>
        <rFont val="Calibri"/>
        <family val="2"/>
      </rPr>
      <t>Student Aide II</t>
    </r>
  </si>
  <si>
    <r>
      <rPr>
        <sz val="10"/>
        <rFont val="Calibri"/>
        <family val="2"/>
      </rPr>
      <t>Performs a variety of clerical &amp;/or manual related duties that are usually semi-skilled in nature and may require only limited skill, training or experience.  Learns role on the job.  Requires basic knowledge of administrative activities and procedures within work area.  Exchanges information with co-workers, staff within the District and the community.  May require completion of certain courses to qualify.</t>
    </r>
  </si>
  <si>
    <r>
      <rPr>
        <sz val="10"/>
        <rFont val="Calibri"/>
        <family val="2"/>
      </rPr>
      <t xml:space="preserve">Classroom Aide, Public Safety Program Aide, Tutor, Museum Aide, Stage Hands, Middle School Liaisons,  Outreach Aides, Student Role Players for special
</t>
    </r>
    <r>
      <rPr>
        <sz val="10"/>
        <rFont val="Calibri"/>
        <family val="2"/>
      </rPr>
      <t>programs,  Clerical Assistants, College Police Assistants, Lifeguard II</t>
    </r>
  </si>
  <si>
    <r>
      <rPr>
        <sz val="10"/>
        <rFont val="Calibri"/>
        <family val="2"/>
      </rPr>
      <t xml:space="preserve">$12.00 to $12.75
</t>
    </r>
    <r>
      <rPr>
        <sz val="10"/>
        <rFont val="Calibri"/>
        <family val="2"/>
      </rPr>
      <t>per hour</t>
    </r>
  </si>
  <si>
    <r>
      <rPr>
        <sz val="10"/>
        <rFont val="Calibri"/>
        <family val="2"/>
      </rPr>
      <t>Student Aide III</t>
    </r>
  </si>
  <si>
    <r>
      <rPr>
        <sz val="10"/>
        <rFont val="Calibri"/>
        <family val="2"/>
      </rPr>
      <t xml:space="preserve">Performs a variety of skilled duties in support of administrative and academic projects.  Performs clerical and manual duties that require some specialized skill level.  Typically requires some experience related to the assignment or special education in the area of
</t>
    </r>
    <r>
      <rPr>
        <sz val="10"/>
        <rFont val="Calibri"/>
        <family val="2"/>
      </rPr>
      <t>assignment.  Requires knowledge of the District/College programs and services</t>
    </r>
  </si>
  <si>
    <r>
      <rPr>
        <sz val="10"/>
        <rFont val="Calibri"/>
        <family val="2"/>
      </rPr>
      <t>Study Group Leader, Educational Assistant, Sports Program Coordinator, Specialized Tutors, group tutors,  Computer Aides, light and sound technicians, Computer Network Assistants, Sports officials, Child program Aides, Automotive Assistants</t>
    </r>
  </si>
  <si>
    <r>
      <rPr>
        <sz val="10"/>
        <rFont val="Calibri"/>
        <family val="2"/>
      </rPr>
      <t xml:space="preserve">$13.00 to $13.75
</t>
    </r>
    <r>
      <rPr>
        <sz val="10"/>
        <rFont val="Calibri"/>
        <family val="2"/>
      </rPr>
      <t>per hour</t>
    </r>
  </si>
  <si>
    <r>
      <rPr>
        <sz val="10"/>
        <rFont val="Calibri"/>
        <family val="2"/>
      </rPr>
      <t>Student Aide IV</t>
    </r>
  </si>
  <si>
    <r>
      <rPr>
        <sz val="10"/>
        <rFont val="Calibri"/>
        <family val="2"/>
      </rPr>
      <t>Performs a variety of duties requiring advanced knowledge of subject in support of administrative or academic projects or functions.  Requires knowledge of how program/work unit function and fit into the District or College programs.  Gathers, integrates and interprets information.</t>
    </r>
  </si>
  <si>
    <r>
      <rPr>
        <sz val="10"/>
        <rFont val="Calibri"/>
        <family val="2"/>
      </rPr>
      <t>Media Center delivery assistants, Special Student Program Assistant (Puente, Ujima), Lab Specialist, Stem Mentors, advanced tutors</t>
    </r>
  </si>
  <si>
    <r>
      <rPr>
        <sz val="10"/>
        <rFont val="Calibri"/>
        <family val="2"/>
      </rPr>
      <t xml:space="preserve">$14.00 to $14.75
</t>
    </r>
    <r>
      <rPr>
        <sz val="10"/>
        <rFont val="Calibri"/>
        <family val="2"/>
      </rPr>
      <t>per hour</t>
    </r>
  </si>
  <si>
    <r>
      <rPr>
        <sz val="10"/>
        <rFont val="Calibri"/>
        <family val="2"/>
      </rPr>
      <t>Student Aide V</t>
    </r>
  </si>
  <si>
    <r>
      <rPr>
        <sz val="10"/>
        <rFont val="Calibri"/>
        <family val="2"/>
      </rPr>
      <t>Performs a variety of complex duties in support of administrative and academic projects/functions.  Requires more extensive experience and subject matter expertise to be successful.  May do advanced and complex research for department assigned to.  Developing and working with contacts outside of the work unit is common.</t>
    </r>
  </si>
  <si>
    <r>
      <rPr>
        <sz val="10"/>
        <rFont val="Calibri"/>
        <family val="2"/>
      </rPr>
      <t>Media Center Student Production Assistants, Media Center Student Technicians, Business Associates, Computer Specialist, Project Specialist,</t>
    </r>
  </si>
  <si>
    <r>
      <rPr>
        <sz val="10"/>
        <rFont val="Calibri"/>
        <family val="2"/>
      </rPr>
      <t xml:space="preserve">$15.00 to $15.75
</t>
    </r>
    <r>
      <rPr>
        <sz val="10"/>
        <rFont val="Calibri"/>
        <family val="2"/>
      </rPr>
      <t>per hour</t>
    </r>
  </si>
  <si>
    <t>Associate Faculty Costed at $87.12/hr</t>
  </si>
  <si>
    <t>PT Counselor/Librarian Costed at $87.12/hr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</si>
</sst>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0;#,##0"/>
    <numFmt numFmtId="166" formatCode="_(* #,##0_);_(* \(#,##0\);_(* &quot;-&quot;??_);_(@_)"/>
    <numFmt numFmtId="167" formatCode="0.0"/>
    <numFmt numFmtId="168" formatCode="0.0_);[Red]\(0.0\)"/>
    <numFmt numFmtId="169" formatCode="0.0%"/>
    <numFmt numFmtId="170" formatCode="mm/dd/yy;@"/>
    <numFmt numFmtId="171" formatCode="_(&quot;$&quot;* #,##0_);_(&quot;$&quot;* \(#,##0\);_(&quot;$&quot;* &quot;-&quot;??_);_(@_)"/>
    <numFmt numFmtId="172" formatCode="_(&quot;Cr$&quot;* #,##0_);_(&quot;Cr$&quot;* \(#,##0\);_(&quot;Cr$&quot;* &quot;-&quot;_);_(@_)"/>
    <numFmt numFmtId="173" formatCode="_(&quot;Cr$&quot;* #,##0.00_);_(&quot;Cr$&quot;* \(#,##0.00\);_(&quot;Cr$&quot;* &quot;-&quot;??_);_(@_)"/>
    <numFmt numFmtId="174" formatCode="#"/>
    <numFmt numFmtId="175" formatCode="0.0%;\(0.0%\)"/>
  </numFmts>
  <fonts count="10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8"/>
      <name val="Arial"/>
      <family val="2"/>
    </font>
    <font>
      <b/>
      <sz val="12"/>
      <name val="Arial"/>
      <family val="2"/>
    </font>
    <font>
      <b/>
      <sz val="10"/>
      <name val="Arial"/>
      <family val="2"/>
    </font>
    <font>
      <sz val="10"/>
      <name val="Arial"/>
      <family val="2"/>
    </font>
    <font>
      <sz val="11"/>
      <color indexed="8"/>
      <name val="Calibri"/>
      <family val="2"/>
    </font>
    <font>
      <b/>
      <sz val="11"/>
      <name val="Times New Roman"/>
      <family val="1"/>
    </font>
    <font>
      <sz val="10"/>
      <name val="Times New Roman"/>
      <family val="1"/>
    </font>
    <font>
      <b/>
      <sz val="10"/>
      <color indexed="12"/>
      <name val="Times New Roman"/>
      <family val="1"/>
    </font>
    <font>
      <b/>
      <sz val="10"/>
      <name val="Times New Roman"/>
      <family val="1"/>
    </font>
    <font>
      <b/>
      <u/>
      <sz val="10"/>
      <name val="Times New Roman"/>
      <family val="1"/>
    </font>
    <font>
      <b/>
      <sz val="10"/>
      <color indexed="10"/>
      <name val="Times New Roman"/>
      <family val="1"/>
    </font>
    <font>
      <sz val="10"/>
      <color indexed="60"/>
      <name val="Times New Roman"/>
      <family val="1"/>
    </font>
    <font>
      <b/>
      <sz val="9"/>
      <color indexed="81"/>
      <name val="Tahoma"/>
      <family val="2"/>
    </font>
    <font>
      <sz val="9"/>
      <color indexed="81"/>
      <name val="Tahoma"/>
      <family val="2"/>
    </font>
    <font>
      <b/>
      <sz val="8"/>
      <color indexed="81"/>
      <name val="Tahoma"/>
      <family val="2"/>
    </font>
    <font>
      <b/>
      <u/>
      <sz val="10"/>
      <color indexed="10"/>
      <name val="Arial"/>
      <family val="2"/>
    </font>
    <font>
      <sz val="8"/>
      <color indexed="8"/>
      <name val="Arial"/>
      <family val="2"/>
    </font>
    <font>
      <sz val="8"/>
      <name val="Arial"/>
      <family val="2"/>
    </font>
    <font>
      <b/>
      <sz val="8"/>
      <color indexed="8"/>
      <name val="Arial"/>
      <family val="2"/>
    </font>
    <font>
      <sz val="12"/>
      <name val="Times New Roman"/>
      <family val="1"/>
    </font>
    <font>
      <u val="singleAccounting"/>
      <sz val="12"/>
      <name val="Times New Roman"/>
      <family val="1"/>
    </font>
    <font>
      <b/>
      <sz val="12"/>
      <name val="Times New Roman"/>
      <family val="1"/>
    </font>
    <font>
      <b/>
      <u val="doubleAccounting"/>
      <sz val="12"/>
      <name val="Times New Roman"/>
      <family val="1"/>
    </font>
    <font>
      <sz val="12"/>
      <name val="Calibri"/>
      <family val="2"/>
    </font>
    <font>
      <sz val="10"/>
      <color indexed="8"/>
      <name val="Arial"/>
      <family val="2"/>
    </font>
    <font>
      <b/>
      <sz val="10"/>
      <color indexed="8"/>
      <name val="Arial"/>
      <family val="2"/>
    </font>
    <font>
      <b/>
      <sz val="14"/>
      <name val="Calibri"/>
      <family val="2"/>
    </font>
    <font>
      <sz val="10"/>
      <name val="Calibri"/>
      <family val="2"/>
    </font>
    <font>
      <b/>
      <sz val="10"/>
      <name val="Calibri"/>
      <family val="2"/>
    </font>
    <font>
      <b/>
      <sz val="12"/>
      <name val="Calibri"/>
      <family val="2"/>
    </font>
    <font>
      <b/>
      <sz val="16"/>
      <name val="Calibri"/>
      <family val="2"/>
    </font>
    <font>
      <b/>
      <i/>
      <sz val="14"/>
      <name val="Calibri"/>
      <family val="2"/>
    </font>
    <font>
      <b/>
      <i/>
      <sz val="12"/>
      <name val="Calibri"/>
      <family val="2"/>
    </font>
    <font>
      <b/>
      <sz val="10"/>
      <color rgb="FFFF0000"/>
      <name val="Times New Roman"/>
      <family val="1"/>
    </font>
    <font>
      <b/>
      <i/>
      <u/>
      <sz val="14"/>
      <color rgb="FF1F497D"/>
      <name val="Calibri"/>
      <family val="2"/>
    </font>
    <font>
      <sz val="12"/>
      <color rgb="FF1F497D"/>
      <name val="Calibri"/>
      <family val="2"/>
    </font>
    <font>
      <sz val="12"/>
      <color rgb="FF000000"/>
      <name val="Calibri"/>
      <family val="2"/>
    </font>
    <font>
      <u val="singleAccounting"/>
      <sz val="12"/>
      <color rgb="FF1F497D"/>
      <name val="Calibri"/>
      <family val="2"/>
    </font>
    <font>
      <sz val="10"/>
      <name val="Calibri"/>
      <family val="2"/>
      <scheme val="minor"/>
    </font>
    <font>
      <b/>
      <sz val="10"/>
      <name val="Calibri"/>
      <family val="2"/>
      <scheme val="minor"/>
    </font>
    <font>
      <b/>
      <sz val="12"/>
      <name val="Calibri"/>
      <family val="2"/>
      <scheme val="minor"/>
    </font>
    <font>
      <sz val="12"/>
      <name val="Calibri"/>
      <family val="2"/>
      <scheme val="minor"/>
    </font>
    <font>
      <b/>
      <u val="doubleAccounting"/>
      <sz val="12"/>
      <name val="Calibri"/>
      <family val="2"/>
      <scheme val="minor"/>
    </font>
    <font>
      <b/>
      <sz val="16"/>
      <name val="Calibri"/>
      <family val="2"/>
      <scheme val="minor"/>
    </font>
    <font>
      <sz val="20"/>
      <color theme="1"/>
      <name val="Calibri"/>
      <family val="2"/>
      <scheme val="minor"/>
    </font>
    <font>
      <b/>
      <u/>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b/>
      <sz val="7.5"/>
      <color theme="1"/>
      <name val="Arial"/>
      <family val="2"/>
    </font>
    <font>
      <b/>
      <sz val="10"/>
      <color rgb="FF0000FF"/>
      <name val="Times New Roman"/>
      <family val="1"/>
    </font>
    <font>
      <b/>
      <sz val="10"/>
      <color rgb="FF0000FF"/>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2"/>
      <name val="Helv"/>
    </font>
    <font>
      <b/>
      <sz val="11"/>
      <color indexed="63"/>
      <name val="Calibri"/>
      <family val="2"/>
    </font>
    <font>
      <b/>
      <sz val="18"/>
      <color indexed="62"/>
      <name val="Cambria"/>
      <family val="2"/>
    </font>
    <font>
      <b/>
      <sz val="11"/>
      <color indexed="8"/>
      <name val="Calibri"/>
      <family val="2"/>
    </font>
    <font>
      <b/>
      <sz val="15"/>
      <color theme="3"/>
      <name val="Calibri"/>
      <family val="2"/>
      <scheme val="minor"/>
    </font>
    <font>
      <b/>
      <sz val="13"/>
      <color theme="3"/>
      <name val="Calibri"/>
      <family val="2"/>
      <scheme val="minor"/>
    </font>
    <font>
      <sz val="10"/>
      <color rgb="FF000000"/>
      <name val="Times New Roman"/>
      <family val="1"/>
    </font>
    <font>
      <sz val="10"/>
      <name val="Times New Roman"/>
      <family val="1"/>
      <charset val="204"/>
    </font>
    <font>
      <sz val="10"/>
      <color rgb="FF000000"/>
      <name val="Arial"/>
      <family val="2"/>
    </font>
    <font>
      <b/>
      <sz val="12"/>
      <color rgb="FF1F497D"/>
      <name val="Calibri"/>
      <family val="2"/>
    </font>
    <font>
      <b/>
      <i/>
      <sz val="12"/>
      <color rgb="FF1F497D"/>
      <name val="Calibri"/>
      <family val="2"/>
    </font>
    <font>
      <b/>
      <i/>
      <u/>
      <sz val="10"/>
      <color rgb="FF1F497D"/>
      <name val="Calibri"/>
      <family val="2"/>
    </font>
    <font>
      <sz val="11"/>
      <color indexed="8"/>
      <name val="Calibri"/>
      <family val="2"/>
      <scheme val="minor"/>
    </font>
    <font>
      <sz val="14"/>
      <color indexed="8"/>
      <name val="Arial"/>
      <family val="2"/>
    </font>
    <font>
      <b/>
      <sz val="12"/>
      <color indexed="8"/>
      <name val="Arial"/>
      <family val="2"/>
    </font>
    <font>
      <sz val="12"/>
      <color theme="1"/>
      <name val="Calibri"/>
      <family val="2"/>
      <scheme val="minor"/>
    </font>
    <font>
      <sz val="14"/>
      <color theme="1"/>
      <name val="Calibri"/>
      <family val="2"/>
      <scheme val="minor"/>
    </font>
    <font>
      <sz val="14"/>
      <color rgb="FFFF0000"/>
      <name val="Calibri"/>
      <family val="2"/>
      <scheme val="minor"/>
    </font>
    <font>
      <b/>
      <sz val="10"/>
      <color rgb="FFFFFFFF"/>
      <name val="Arial"/>
      <family val="2"/>
    </font>
    <font>
      <sz val="14"/>
      <name val="Calibri"/>
      <family val="2"/>
    </font>
    <font>
      <sz val="11"/>
      <name val="Calibri"/>
      <family val="2"/>
    </font>
    <font>
      <sz val="10"/>
      <color theme="1"/>
      <name val="Arial"/>
      <family val="2"/>
    </font>
  </fonts>
  <fills count="6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9"/>
      </patternFill>
    </fill>
    <fill>
      <patternFill patternType="solid">
        <fgColor rgb="FFFFFF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lightUp">
        <bgColor theme="0" tint="-0.24994659260841701"/>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59999389629810485"/>
        <bgColor indexed="64"/>
      </patternFill>
    </fill>
    <fill>
      <patternFill patternType="solid">
        <fgColor rgb="FF99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55"/>
      </patternFill>
    </fill>
    <fill>
      <patternFill patternType="solid">
        <fgColor rgb="FFC0C0C0"/>
      </patternFill>
    </fill>
    <fill>
      <patternFill patternType="solid">
        <fgColor theme="0" tint="-0.14999847407452621"/>
        <bgColor indexed="64"/>
      </patternFill>
    </fill>
    <fill>
      <patternFill patternType="solid">
        <fgColor rgb="FF000080"/>
      </patternFill>
    </fill>
  </fills>
  <borders count="54">
    <border>
      <left/>
      <right/>
      <top/>
      <bottom/>
      <diagonal/>
    </border>
    <border>
      <left/>
      <right/>
      <top style="double">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ck">
        <color theme="4"/>
      </bottom>
      <diagonal/>
    </border>
    <border>
      <left/>
      <right/>
      <top/>
      <bottom style="thick">
        <color theme="4" tint="0.49998474074526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15">
    <xf numFmtId="0" fontId="0" fillId="0" borderId="0"/>
    <xf numFmtId="43" fontId="5"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44" fontId="10" fillId="0" borderId="0" applyFont="0" applyFill="0" applyBorder="0" applyAlignment="0" applyProtection="0"/>
    <xf numFmtId="5"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0" fillId="0" borderId="0"/>
    <xf numFmtId="9" fontId="5" fillId="0" borderId="0" applyFont="0" applyFill="0" applyBorder="0" applyAlignment="0" applyProtection="0"/>
    <xf numFmtId="0" fontId="5" fillId="0" borderId="1" applyNumberFormat="0" applyFont="0" applyFill="0" applyAlignment="0" applyProtection="0"/>
    <xf numFmtId="0" fontId="59" fillId="0" borderId="0" applyNumberFormat="0" applyFill="0" applyBorder="0" applyAlignment="0" applyProtection="0"/>
    <xf numFmtId="0" fontId="60" fillId="0" borderId="31" applyNumberFormat="0" applyFill="0" applyAlignment="0" applyProtection="0"/>
    <xf numFmtId="0" fontId="60" fillId="0" borderId="0" applyNumberFormat="0" applyFill="0" applyBorder="0" applyAlignment="0" applyProtection="0"/>
    <xf numFmtId="0" fontId="61" fillId="15" borderId="0" applyNumberFormat="0" applyBorder="0" applyAlignment="0" applyProtection="0"/>
    <xf numFmtId="0" fontId="62" fillId="16" borderId="0" applyNumberFormat="0" applyBorder="0" applyAlignment="0" applyProtection="0"/>
    <xf numFmtId="0" fontId="63" fillId="17" borderId="0" applyNumberFormat="0" applyBorder="0" applyAlignment="0" applyProtection="0"/>
    <xf numFmtId="0" fontId="64" fillId="18" borderId="32" applyNumberFormat="0" applyAlignment="0" applyProtection="0"/>
    <xf numFmtId="0" fontId="65" fillId="19" borderId="33" applyNumberFormat="0" applyAlignment="0" applyProtection="0"/>
    <xf numFmtId="0" fontId="66" fillId="19" borderId="32" applyNumberFormat="0" applyAlignment="0" applyProtection="0"/>
    <xf numFmtId="0" fontId="67" fillId="0" borderId="34" applyNumberFormat="0" applyFill="0" applyAlignment="0" applyProtection="0"/>
    <xf numFmtId="0" fontId="68" fillId="20" borderId="35"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71" fillId="25" borderId="0" applyNumberFormat="0" applyBorder="0" applyAlignment="0" applyProtection="0"/>
    <xf numFmtId="0" fontId="71"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71" fillId="29" borderId="0" applyNumberFormat="0" applyBorder="0" applyAlignment="0" applyProtection="0"/>
    <xf numFmtId="0" fontId="71"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71" fillId="33" borderId="0" applyNumberFormat="0" applyBorder="0" applyAlignment="0" applyProtection="0"/>
    <xf numFmtId="0" fontId="71"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71" fillId="37" borderId="0" applyNumberFormat="0" applyBorder="0" applyAlignment="0" applyProtection="0"/>
    <xf numFmtId="0" fontId="71" fillId="38"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71" fillId="41" borderId="0" applyNumberFormat="0" applyBorder="0" applyAlignment="0" applyProtection="0"/>
    <xf numFmtId="0" fontId="71"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71" fillId="45" borderId="0" applyNumberFormat="0" applyBorder="0" applyAlignment="0" applyProtection="0"/>
    <xf numFmtId="0" fontId="72" fillId="0" borderId="0"/>
    <xf numFmtId="0" fontId="4" fillId="0" borderId="0"/>
    <xf numFmtId="43" fontId="4" fillId="0" borderId="0" applyFont="0" applyFill="0" applyBorder="0" applyAlignment="0" applyProtection="0"/>
    <xf numFmtId="0" fontId="11" fillId="46" borderId="0" applyNumberFormat="0" applyBorder="0" applyAlignment="0" applyProtection="0"/>
    <xf numFmtId="0" fontId="11" fillId="48" borderId="0" applyNumberFormat="0" applyBorder="0" applyAlignment="0" applyProtection="0"/>
    <xf numFmtId="0" fontId="11" fillId="49" borderId="0" applyNumberFormat="0" applyBorder="0" applyAlignment="0" applyProtection="0"/>
    <xf numFmtId="0" fontId="11" fillId="51" borderId="0" applyNumberFormat="0" applyBorder="0" applyAlignment="0" applyProtection="0"/>
    <xf numFmtId="0" fontId="11" fillId="52" borderId="0" applyNumberFormat="0" applyBorder="0" applyAlignment="0" applyProtection="0"/>
    <xf numFmtId="0" fontId="11" fillId="49" borderId="0" applyNumberFormat="0" applyBorder="0" applyAlignment="0" applyProtection="0"/>
    <xf numFmtId="0" fontId="11" fillId="52" borderId="0" applyNumberFormat="0" applyBorder="0" applyAlignment="0" applyProtection="0"/>
    <xf numFmtId="0" fontId="11" fillId="48" borderId="0" applyNumberFormat="0" applyBorder="0" applyAlignment="0" applyProtection="0"/>
    <xf numFmtId="0" fontId="11" fillId="53" borderId="0" applyNumberFormat="0" applyBorder="0" applyAlignment="0" applyProtection="0"/>
    <xf numFmtId="0" fontId="11" fillId="47" borderId="0" applyNumberFormat="0" applyBorder="0" applyAlignment="0" applyProtection="0"/>
    <xf numFmtId="0" fontId="11" fillId="52" borderId="0" applyNumberFormat="0" applyBorder="0" applyAlignment="0" applyProtection="0"/>
    <xf numFmtId="0" fontId="11" fillId="49" borderId="0" applyNumberFormat="0" applyBorder="0" applyAlignment="0" applyProtection="0"/>
    <xf numFmtId="0" fontId="73" fillId="52" borderId="0" applyNumberFormat="0" applyBorder="0" applyAlignment="0" applyProtection="0"/>
    <xf numFmtId="0" fontId="73" fillId="55" borderId="0" applyNumberFormat="0" applyBorder="0" applyAlignment="0" applyProtection="0"/>
    <xf numFmtId="0" fontId="73" fillId="54" borderId="0" applyNumberFormat="0" applyBorder="0" applyAlignment="0" applyProtection="0"/>
    <xf numFmtId="0" fontId="73" fillId="47" borderId="0" applyNumberFormat="0" applyBorder="0" applyAlignment="0" applyProtection="0"/>
    <xf numFmtId="0" fontId="73" fillId="52" borderId="0" applyNumberFormat="0" applyBorder="0" applyAlignment="0" applyProtection="0"/>
    <xf numFmtId="0" fontId="73" fillId="48" borderId="0" applyNumberFormat="0" applyBorder="0" applyAlignment="0" applyProtection="0"/>
    <xf numFmtId="0" fontId="73" fillId="57" borderId="0" applyNumberFormat="0" applyBorder="0" applyAlignment="0" applyProtection="0"/>
    <xf numFmtId="0" fontId="73" fillId="55" borderId="0" applyNumberFormat="0" applyBorder="0" applyAlignment="0" applyProtection="0"/>
    <xf numFmtId="0" fontId="73" fillId="54" borderId="0" applyNumberFormat="0" applyBorder="0" applyAlignment="0" applyProtection="0"/>
    <xf numFmtId="0" fontId="73" fillId="59" borderId="0" applyNumberFormat="0" applyBorder="0" applyAlignment="0" applyProtection="0"/>
    <xf numFmtId="0" fontId="73" fillId="56" borderId="0" applyNumberFormat="0" applyBorder="0" applyAlignment="0" applyProtection="0"/>
    <xf numFmtId="0" fontId="73" fillId="58" borderId="0" applyNumberFormat="0" applyBorder="0" applyAlignment="0" applyProtection="0"/>
    <xf numFmtId="0" fontId="74" fillId="50" borderId="0" applyNumberFormat="0" applyBorder="0" applyAlignment="0" applyProtection="0"/>
    <xf numFmtId="0" fontId="75" fillId="5" borderId="37" applyNumberFormat="0" applyAlignment="0" applyProtection="0"/>
    <xf numFmtId="0" fontId="76" fillId="60" borderId="38" applyNumberFormat="0" applyAlignment="0" applyProtection="0"/>
    <xf numFmtId="0" fontId="77" fillId="0" borderId="0" applyNumberFormat="0" applyFill="0" applyBorder="0" applyAlignment="0" applyProtection="0"/>
    <xf numFmtId="0" fontId="78" fillId="52" borderId="0" applyNumberFormat="0" applyBorder="0" applyAlignment="0" applyProtection="0"/>
    <xf numFmtId="0" fontId="79" fillId="0" borderId="39" applyNumberFormat="0" applyFill="0" applyAlignment="0" applyProtection="0"/>
    <xf numFmtId="0" fontId="80" fillId="0" borderId="40" applyNumberFormat="0" applyFill="0" applyAlignment="0" applyProtection="0"/>
    <xf numFmtId="0" fontId="81" fillId="0" borderId="41" applyNumberFormat="0" applyFill="0" applyAlignment="0" applyProtection="0"/>
    <xf numFmtId="0" fontId="81" fillId="0" borderId="0" applyNumberFormat="0" applyFill="0" applyBorder="0" applyAlignment="0" applyProtection="0"/>
    <xf numFmtId="0" fontId="82" fillId="53" borderId="37" applyNumberFormat="0" applyAlignment="0" applyProtection="0"/>
    <xf numFmtId="0" fontId="83" fillId="0" borderId="42"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0" fontId="84" fillId="53" borderId="0" applyNumberFormat="0" applyBorder="0" applyAlignment="0" applyProtection="0"/>
    <xf numFmtId="0" fontId="5" fillId="0" borderId="0"/>
    <xf numFmtId="0" fontId="85" fillId="49" borderId="43" applyNumberFormat="0" applyFont="0" applyAlignment="0" applyProtection="0"/>
    <xf numFmtId="0" fontId="86" fillId="5" borderId="44" applyNumberFormat="0" applyAlignment="0" applyProtection="0"/>
    <xf numFmtId="0" fontId="87" fillId="0" borderId="0" applyNumberFormat="0" applyFill="0" applyBorder="0" applyAlignment="0" applyProtection="0"/>
    <xf numFmtId="0" fontId="88" fillId="0" borderId="45" applyNumberFormat="0" applyFill="0" applyAlignment="0" applyProtection="0"/>
    <xf numFmtId="0" fontId="83" fillId="0" borderId="0" applyNumberFormat="0" applyFill="0" applyBorder="0" applyAlignment="0" applyProtection="0"/>
    <xf numFmtId="0" fontId="90" fillId="0" borderId="47" applyNumberFormat="0" applyFill="0" applyAlignment="0" applyProtection="0"/>
    <xf numFmtId="0" fontId="53" fillId="0" borderId="48" applyNumberFormat="0" applyFill="0" applyAlignment="0" applyProtection="0"/>
    <xf numFmtId="0" fontId="89" fillId="0" borderId="46" applyNumberFormat="0" applyFill="0" applyAlignment="0" applyProtection="0"/>
    <xf numFmtId="0" fontId="91" fillId="0" borderId="0"/>
    <xf numFmtId="0" fontId="4" fillId="21" borderId="36" applyNumberFormat="0" applyFont="0" applyAlignment="0" applyProtection="0"/>
    <xf numFmtId="0" fontId="92" fillId="0" borderId="0" applyNumberFormat="0" applyFill="0" applyBorder="0" applyProtection="0">
      <alignment vertical="top" wrapText="1"/>
    </xf>
    <xf numFmtId="43" fontId="92" fillId="0" borderId="0" applyFont="0" applyFill="0" applyBorder="0" applyAlignment="0" applyProtection="0">
      <alignment vertical="top" wrapText="1"/>
    </xf>
    <xf numFmtId="0" fontId="3" fillId="0" borderId="0"/>
    <xf numFmtId="43" fontId="3" fillId="0" borderId="0" applyFont="0" applyFill="0" applyBorder="0" applyAlignment="0" applyProtection="0"/>
    <xf numFmtId="0" fontId="97"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1" fillId="0" borderId="0"/>
  </cellStyleXfs>
  <cellXfs count="457">
    <xf numFmtId="0" fontId="0" fillId="0" borderId="0" xfId="0"/>
    <xf numFmtId="0" fontId="0" fillId="0" borderId="2" xfId="0" applyBorder="1"/>
    <xf numFmtId="0" fontId="9" fillId="0" borderId="0" xfId="0" applyFont="1" applyAlignment="1">
      <alignment horizontal="right"/>
    </xf>
    <xf numFmtId="0" fontId="10" fillId="0" borderId="0" xfId="0" applyFont="1"/>
    <xf numFmtId="0" fontId="13" fillId="0" borderId="0" xfId="0" applyFont="1"/>
    <xf numFmtId="0" fontId="13" fillId="0" borderId="0" xfId="0" applyFont="1" applyBorder="1"/>
    <xf numFmtId="0" fontId="15" fillId="0" borderId="3" xfId="0" applyFont="1" applyBorder="1" applyAlignment="1">
      <alignment horizontal="center"/>
    </xf>
    <xf numFmtId="0" fontId="15" fillId="0" borderId="0" xfId="0" applyFont="1" applyBorder="1"/>
    <xf numFmtId="0" fontId="15" fillId="0" borderId="3" xfId="0" applyFont="1" applyBorder="1" applyAlignment="1"/>
    <xf numFmtId="0" fontId="15" fillId="0" borderId="0" xfId="0" applyFont="1" applyBorder="1" applyAlignment="1"/>
    <xf numFmtId="0" fontId="15" fillId="0" borderId="4" xfId="0" applyFont="1" applyBorder="1" applyAlignment="1">
      <alignment horizontal="center"/>
    </xf>
    <xf numFmtId="0" fontId="16" fillId="2" borderId="5" xfId="0" applyFont="1" applyFill="1" applyBorder="1"/>
    <xf numFmtId="0" fontId="13" fillId="2" borderId="0" xfId="0" applyFont="1" applyFill="1" applyBorder="1"/>
    <xf numFmtId="0" fontId="13" fillId="2" borderId="5" xfId="0" applyFont="1" applyFill="1" applyBorder="1"/>
    <xf numFmtId="0" fontId="13" fillId="2" borderId="6" xfId="0" applyFont="1" applyFill="1" applyBorder="1"/>
    <xf numFmtId="167" fontId="17" fillId="0" borderId="6" xfId="0" applyNumberFormat="1" applyFont="1" applyFill="1" applyBorder="1" applyAlignment="1">
      <alignment horizontal="center"/>
    </xf>
    <xf numFmtId="167" fontId="13" fillId="2" borderId="6" xfId="0" applyNumberFormat="1" applyFont="1" applyFill="1" applyBorder="1" applyAlignment="1">
      <alignment horizontal="center"/>
    </xf>
    <xf numFmtId="168" fontId="15" fillId="2" borderId="6" xfId="0" applyNumberFormat="1" applyFont="1" applyFill="1" applyBorder="1" applyAlignment="1">
      <alignment horizontal="center"/>
    </xf>
    <xf numFmtId="167" fontId="13" fillId="0" borderId="6" xfId="0" applyNumberFormat="1" applyFont="1" applyFill="1" applyBorder="1" applyAlignment="1">
      <alignment horizontal="center"/>
    </xf>
    <xf numFmtId="168" fontId="13" fillId="2" borderId="6" xfId="0" applyNumberFormat="1" applyFont="1" applyFill="1" applyBorder="1" applyAlignment="1">
      <alignment horizontal="center"/>
    </xf>
    <xf numFmtId="0" fontId="13" fillId="2" borderId="7" xfId="0" applyFont="1" applyFill="1" applyBorder="1"/>
    <xf numFmtId="167" fontId="13" fillId="0" borderId="7" xfId="0" applyNumberFormat="1" applyFont="1" applyFill="1" applyBorder="1" applyAlignment="1">
      <alignment horizontal="center"/>
    </xf>
    <xf numFmtId="167" fontId="13" fillId="2" borderId="7" xfId="0" applyNumberFormat="1" applyFont="1" applyFill="1" applyBorder="1" applyAlignment="1">
      <alignment horizontal="center"/>
    </xf>
    <xf numFmtId="168" fontId="13" fillId="2" borderId="7" xfId="0" applyNumberFormat="1" applyFont="1" applyFill="1" applyBorder="1" applyAlignment="1">
      <alignment horizontal="center"/>
    </xf>
    <xf numFmtId="167" fontId="17" fillId="0" borderId="7" xfId="0" applyNumberFormat="1" applyFont="1" applyFill="1" applyBorder="1" applyAlignment="1">
      <alignment horizontal="center"/>
    </xf>
    <xf numFmtId="168" fontId="15" fillId="2" borderId="7" xfId="0" applyNumberFormat="1" applyFont="1" applyFill="1" applyBorder="1" applyAlignment="1">
      <alignment horizontal="center"/>
    </xf>
    <xf numFmtId="168" fontId="15" fillId="0" borderId="7" xfId="0" applyNumberFormat="1" applyFont="1" applyFill="1" applyBorder="1" applyAlignment="1">
      <alignment horizontal="center"/>
    </xf>
    <xf numFmtId="168" fontId="13" fillId="0" borderId="7" xfId="0" applyNumberFormat="1" applyFont="1" applyFill="1" applyBorder="1" applyAlignment="1">
      <alignment horizontal="center"/>
    </xf>
    <xf numFmtId="168" fontId="17" fillId="0" borderId="7" xfId="0" applyNumberFormat="1" applyFont="1" applyFill="1" applyBorder="1" applyAlignment="1">
      <alignment horizontal="center"/>
    </xf>
    <xf numFmtId="0" fontId="13" fillId="0" borderId="8" xfId="0" applyFont="1" applyBorder="1"/>
    <xf numFmtId="167" fontId="13" fillId="0" borderId="0" xfId="1" applyNumberFormat="1" applyFont="1" applyFill="1" applyBorder="1" applyAlignment="1">
      <alignment horizontal="center"/>
    </xf>
    <xf numFmtId="167" fontId="13" fillId="0" borderId="0" xfId="1" applyNumberFormat="1" applyFont="1" applyBorder="1" applyAlignment="1">
      <alignment horizontal="center"/>
    </xf>
    <xf numFmtId="168" fontId="13" fillId="0" borderId="0" xfId="0" applyNumberFormat="1" applyFont="1" applyBorder="1" applyAlignment="1">
      <alignment horizontal="center"/>
    </xf>
    <xf numFmtId="0" fontId="16" fillId="0" borderId="0" xfId="0" applyFont="1" applyBorder="1"/>
    <xf numFmtId="167" fontId="13" fillId="0" borderId="0" xfId="0" applyNumberFormat="1" applyFont="1" applyFill="1" applyBorder="1" applyAlignment="1">
      <alignment horizontal="center"/>
    </xf>
    <xf numFmtId="167" fontId="13" fillId="0" borderId="0" xfId="0" applyNumberFormat="1" applyFont="1" applyBorder="1" applyAlignment="1">
      <alignment horizontal="center"/>
    </xf>
    <xf numFmtId="0" fontId="13" fillId="0" borderId="6" xfId="0" applyFont="1" applyBorder="1"/>
    <xf numFmtId="167" fontId="13" fillId="0" borderId="6" xfId="0" applyNumberFormat="1" applyFont="1" applyBorder="1" applyAlignment="1">
      <alignment horizontal="center"/>
    </xf>
    <xf numFmtId="168" fontId="13" fillId="0" borderId="6" xfId="0" applyNumberFormat="1" applyFont="1" applyBorder="1" applyAlignment="1">
      <alignment horizontal="center"/>
    </xf>
    <xf numFmtId="168" fontId="15" fillId="0" borderId="6" xfId="0" applyNumberFormat="1" applyFont="1" applyBorder="1" applyAlignment="1">
      <alignment horizontal="center"/>
    </xf>
    <xf numFmtId="0" fontId="13" fillId="0" borderId="7" xfId="0" applyFont="1" applyBorder="1"/>
    <xf numFmtId="167" fontId="13" fillId="0" borderId="7" xfId="0" applyNumberFormat="1" applyFont="1" applyBorder="1" applyAlignment="1">
      <alignment horizontal="center"/>
    </xf>
    <xf numFmtId="168" fontId="15" fillId="0" borderId="7" xfId="0" applyNumberFormat="1" applyFont="1" applyBorder="1" applyAlignment="1">
      <alignment horizontal="center"/>
    </xf>
    <xf numFmtId="168" fontId="13" fillId="0" borderId="7" xfId="0" applyNumberFormat="1" applyFont="1" applyBorder="1" applyAlignment="1">
      <alignment horizontal="center"/>
    </xf>
    <xf numFmtId="0" fontId="13" fillId="6" borderId="29" xfId="0" applyFont="1" applyFill="1" applyBorder="1"/>
    <xf numFmtId="0" fontId="13" fillId="6" borderId="30" xfId="0" applyFont="1" applyFill="1" applyBorder="1"/>
    <xf numFmtId="168" fontId="14" fillId="0" borderId="6" xfId="0" applyNumberFormat="1" applyFont="1" applyBorder="1" applyAlignment="1">
      <alignment horizontal="center"/>
    </xf>
    <xf numFmtId="167" fontId="13" fillId="0" borderId="8" xfId="1" applyNumberFormat="1" applyFont="1" applyFill="1" applyBorder="1" applyAlignment="1">
      <alignment horizontal="center"/>
    </xf>
    <xf numFmtId="167" fontId="13" fillId="0" borderId="8" xfId="1" applyNumberFormat="1" applyFont="1" applyBorder="1" applyAlignment="1">
      <alignment horizontal="center"/>
    </xf>
    <xf numFmtId="168" fontId="13" fillId="0" borderId="8" xfId="0" applyNumberFormat="1" applyFont="1" applyBorder="1" applyAlignment="1">
      <alignment horizontal="center"/>
    </xf>
    <xf numFmtId="168" fontId="15" fillId="0" borderId="0" xfId="0" applyNumberFormat="1" applyFont="1" applyBorder="1" applyAlignment="1">
      <alignment horizontal="center"/>
    </xf>
    <xf numFmtId="167" fontId="13" fillId="0" borderId="7" xfId="1" applyNumberFormat="1" applyFont="1" applyFill="1" applyBorder="1" applyAlignment="1">
      <alignment horizontal="center"/>
    </xf>
    <xf numFmtId="167" fontId="13" fillId="0" borderId="7" xfId="1" applyNumberFormat="1" applyFont="1" applyBorder="1" applyAlignment="1">
      <alignment horizontal="center"/>
    </xf>
    <xf numFmtId="168" fontId="14" fillId="0" borderId="7" xfId="0" applyNumberFormat="1" applyFont="1" applyBorder="1" applyAlignment="1">
      <alignment horizontal="center"/>
    </xf>
    <xf numFmtId="167" fontId="13" fillId="0" borderId="6" xfId="1" applyNumberFormat="1" applyFont="1" applyFill="1" applyBorder="1" applyAlignment="1">
      <alignment horizontal="center"/>
    </xf>
    <xf numFmtId="167" fontId="13" fillId="0" borderId="6" xfId="1" applyNumberFormat="1" applyFont="1" applyBorder="1" applyAlignment="1">
      <alignment horizontal="center"/>
    </xf>
    <xf numFmtId="168" fontId="13" fillId="0" borderId="7" xfId="1" applyNumberFormat="1" applyFont="1" applyBorder="1" applyAlignment="1">
      <alignment horizontal="center"/>
    </xf>
    <xf numFmtId="168" fontId="13" fillId="0" borderId="6" xfId="1" applyNumberFormat="1" applyFont="1" applyBorder="1" applyAlignment="1">
      <alignment horizontal="center"/>
    </xf>
    <xf numFmtId="0" fontId="15" fillId="0" borderId="6" xfId="0" applyFont="1" applyBorder="1"/>
    <xf numFmtId="0" fontId="15" fillId="0" borderId="6" xfId="0" applyFont="1" applyBorder="1" applyAlignment="1">
      <alignment horizontal="right"/>
    </xf>
    <xf numFmtId="167" fontId="15" fillId="0" borderId="7" xfId="1" applyNumberFormat="1" applyFont="1" applyFill="1" applyBorder="1" applyAlignment="1">
      <alignment horizontal="center"/>
    </xf>
    <xf numFmtId="167" fontId="15" fillId="0" borderId="7" xfId="1" applyNumberFormat="1" applyFont="1" applyBorder="1" applyAlignment="1">
      <alignment horizontal="center"/>
    </xf>
    <xf numFmtId="168" fontId="15" fillId="0" borderId="7" xfId="1" applyNumberFormat="1" applyFont="1" applyBorder="1" applyAlignment="1">
      <alignment horizontal="center"/>
    </xf>
    <xf numFmtId="169" fontId="40" fillId="0" borderId="0" xfId="15" applyNumberFormat="1" applyFont="1" applyBorder="1"/>
    <xf numFmtId="169" fontId="40" fillId="0" borderId="0" xfId="15" applyNumberFormat="1" applyFont="1" applyFill="1" applyBorder="1"/>
    <xf numFmtId="0" fontId="15" fillId="0" borderId="3" xfId="0" applyFont="1" applyBorder="1"/>
    <xf numFmtId="0" fontId="13" fillId="0" borderId="3" xfId="0" applyFont="1" applyBorder="1"/>
    <xf numFmtId="0" fontId="13" fillId="0" borderId="9" xfId="0" applyFont="1" applyBorder="1"/>
    <xf numFmtId="166" fontId="13" fillId="0" borderId="9" xfId="1" applyNumberFormat="1" applyFont="1" applyFill="1" applyBorder="1"/>
    <xf numFmtId="0" fontId="13" fillId="3" borderId="0" xfId="0" applyFont="1" applyFill="1" applyBorder="1"/>
    <xf numFmtId="166" fontId="13" fillId="0" borderId="6" xfId="1" applyNumberFormat="1" applyFont="1" applyFill="1" applyBorder="1"/>
    <xf numFmtId="166" fontId="13" fillId="0" borderId="7" xfId="1" applyNumberFormat="1" applyFont="1" applyFill="1" applyBorder="1"/>
    <xf numFmtId="0" fontId="13" fillId="4" borderId="10" xfId="0" applyFont="1" applyFill="1" applyBorder="1" applyAlignment="1">
      <alignment horizontal="center" vertical="center"/>
    </xf>
    <xf numFmtId="0" fontId="13" fillId="4" borderId="11" xfId="0" applyFont="1" applyFill="1" applyBorder="1"/>
    <xf numFmtId="0" fontId="13" fillId="0" borderId="7" xfId="0" applyFont="1" applyFill="1" applyBorder="1"/>
    <xf numFmtId="166" fontId="13" fillId="0" borderId="7" xfId="0" applyNumberFormat="1" applyFont="1" applyBorder="1"/>
    <xf numFmtId="0" fontId="13" fillId="0" borderId="12" xfId="0" applyFont="1" applyBorder="1"/>
    <xf numFmtId="2" fontId="13" fillId="0" borderId="0" xfId="0" applyNumberFormat="1" applyFont="1"/>
    <xf numFmtId="0" fontId="13" fillId="4" borderId="11" xfId="0" applyFont="1" applyFill="1" applyBorder="1" applyAlignment="1">
      <alignment wrapText="1"/>
    </xf>
    <xf numFmtId="0" fontId="22" fillId="0" borderId="0" xfId="0" applyFont="1"/>
    <xf numFmtId="166" fontId="0" fillId="0" borderId="0" xfId="1" applyNumberFormat="1" applyFont="1"/>
    <xf numFmtId="0" fontId="9" fillId="0" borderId="13" xfId="0" applyFont="1" applyBorder="1"/>
    <xf numFmtId="166" fontId="9" fillId="0" borderId="13" xfId="1" applyNumberFormat="1" applyFont="1" applyBorder="1" applyAlignment="1">
      <alignment horizontal="center"/>
    </xf>
    <xf numFmtId="0" fontId="23" fillId="0" borderId="0" xfId="0" applyFont="1" applyAlignment="1">
      <alignment wrapText="1"/>
    </xf>
    <xf numFmtId="166" fontId="23" fillId="0" borderId="0" xfId="1" applyNumberFormat="1" applyFont="1" applyAlignment="1">
      <alignment horizontal="right" wrapText="1"/>
    </xf>
    <xf numFmtId="0" fontId="23" fillId="0" borderId="0" xfId="0" applyFont="1" applyAlignment="1">
      <alignment horizontal="left" wrapText="1"/>
    </xf>
    <xf numFmtId="166" fontId="24" fillId="0" borderId="0" xfId="1" applyNumberFormat="1" applyFont="1" applyAlignment="1">
      <alignment horizontal="right" wrapText="1"/>
    </xf>
    <xf numFmtId="166" fontId="23" fillId="0" borderId="0" xfId="1" applyNumberFormat="1" applyFont="1" applyBorder="1" applyAlignment="1">
      <alignment horizontal="right" wrapText="1"/>
    </xf>
    <xf numFmtId="166" fontId="9" fillId="0" borderId="5" xfId="0" applyNumberFormat="1" applyFont="1" applyBorder="1"/>
    <xf numFmtId="0" fontId="25" fillId="0" borderId="0" xfId="0" applyFont="1" applyAlignment="1">
      <alignment wrapText="1"/>
    </xf>
    <xf numFmtId="166" fontId="0" fillId="0" borderId="0" xfId="0" applyNumberFormat="1"/>
    <xf numFmtId="166" fontId="9" fillId="0" borderId="12" xfId="0" applyNumberFormat="1" applyFont="1" applyBorder="1"/>
    <xf numFmtId="166" fontId="9" fillId="0" borderId="5" xfId="1" applyNumberFormat="1" applyFont="1" applyBorder="1"/>
    <xf numFmtId="166" fontId="23" fillId="0" borderId="0" xfId="1" applyNumberFormat="1" applyFont="1" applyFill="1" applyBorder="1" applyAlignment="1">
      <alignment horizontal="right" wrapText="1"/>
    </xf>
    <xf numFmtId="0" fontId="24" fillId="0" borderId="0" xfId="0" applyFont="1" applyAlignment="1">
      <alignment wrapText="1"/>
    </xf>
    <xf numFmtId="166" fontId="24" fillId="0" borderId="0" xfId="1" applyNumberFormat="1" applyFont="1" applyBorder="1" applyAlignment="1">
      <alignment horizontal="right" wrapText="1"/>
    </xf>
    <xf numFmtId="166" fontId="0" fillId="0" borderId="0" xfId="0" applyNumberFormat="1" applyFill="1"/>
    <xf numFmtId="166" fontId="24" fillId="0" borderId="0" xfId="1" applyNumberFormat="1" applyFont="1" applyFill="1" applyBorder="1" applyAlignment="1">
      <alignment horizontal="right" wrapText="1"/>
    </xf>
    <xf numFmtId="166" fontId="24" fillId="0" borderId="0" xfId="0" applyNumberFormat="1" applyFont="1"/>
    <xf numFmtId="166" fontId="9" fillId="0" borderId="0" xfId="0" applyNumberFormat="1" applyFont="1" applyBorder="1"/>
    <xf numFmtId="0" fontId="0" fillId="0" borderId="0" xfId="0" applyBorder="1"/>
    <xf numFmtId="166" fontId="9" fillId="0" borderId="12" xfId="1" applyNumberFormat="1" applyFont="1" applyBorder="1"/>
    <xf numFmtId="166" fontId="9" fillId="0" borderId="0" xfId="1" applyNumberFormat="1" applyFont="1" applyBorder="1"/>
    <xf numFmtId="0" fontId="26" fillId="0" borderId="0" xfId="0" applyFont="1" applyBorder="1" applyAlignment="1">
      <alignment wrapText="1"/>
    </xf>
    <xf numFmtId="10" fontId="26" fillId="0" borderId="0" xfId="15" applyNumberFormat="1" applyFont="1" applyBorder="1" applyAlignment="1">
      <alignment horizontal="center" wrapText="1"/>
    </xf>
    <xf numFmtId="42" fontId="26" fillId="0" borderId="0" xfId="1" applyNumberFormat="1" applyFont="1" applyBorder="1"/>
    <xf numFmtId="0" fontId="26" fillId="0" borderId="0" xfId="0" applyFont="1"/>
    <xf numFmtId="0" fontId="26" fillId="0" borderId="0" xfId="0" applyFont="1" applyBorder="1"/>
    <xf numFmtId="10" fontId="26" fillId="0" borderId="0" xfId="15" applyNumberFormat="1" applyFont="1" applyBorder="1"/>
    <xf numFmtId="0" fontId="26" fillId="0" borderId="0" xfId="0" applyFont="1" applyFill="1" applyBorder="1"/>
    <xf numFmtId="42" fontId="27" fillId="0" borderId="0" xfId="1" applyNumberFormat="1" applyFont="1" applyBorder="1"/>
    <xf numFmtId="0" fontId="28" fillId="0" borderId="0" xfId="0" applyFont="1" applyFill="1" applyBorder="1"/>
    <xf numFmtId="10" fontId="28" fillId="0" borderId="0" xfId="15" applyNumberFormat="1" applyFont="1" applyBorder="1"/>
    <xf numFmtId="42" fontId="29" fillId="0" borderId="0" xfId="1" applyNumberFormat="1" applyFont="1" applyBorder="1"/>
    <xf numFmtId="0" fontId="28" fillId="0" borderId="0" xfId="0" applyFont="1"/>
    <xf numFmtId="10" fontId="26" fillId="0" borderId="0" xfId="15" applyNumberFormat="1" applyFont="1"/>
    <xf numFmtId="10" fontId="26" fillId="0" borderId="0" xfId="15" quotePrefix="1" applyNumberFormat="1" applyFont="1"/>
    <xf numFmtId="44" fontId="26" fillId="0" borderId="0" xfId="5" applyFont="1"/>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30" fillId="0" borderId="0" xfId="0" applyFont="1" applyAlignment="1">
      <alignment vertical="center"/>
    </xf>
    <xf numFmtId="166" fontId="42" fillId="0" borderId="0" xfId="1" applyNumberFormat="1" applyFont="1" applyAlignment="1">
      <alignment vertical="center"/>
    </xf>
    <xf numFmtId="166" fontId="43" fillId="0" borderId="0" xfId="1" applyNumberFormat="1" applyFont="1" applyAlignment="1">
      <alignment vertical="center"/>
    </xf>
    <xf numFmtId="166" fontId="41" fillId="0" borderId="0" xfId="1" applyNumberFormat="1" applyFont="1" applyAlignment="1">
      <alignment vertical="center"/>
    </xf>
    <xf numFmtId="166" fontId="30" fillId="0" borderId="0" xfId="1" applyNumberFormat="1" applyFont="1" applyAlignment="1">
      <alignment vertical="center"/>
    </xf>
    <xf numFmtId="166" fontId="44" fillId="0" borderId="0" xfId="1" applyNumberFormat="1" applyFont="1" applyAlignment="1">
      <alignment vertical="center"/>
    </xf>
    <xf numFmtId="42" fontId="28" fillId="0" borderId="0" xfId="1" applyNumberFormat="1" applyFont="1" applyBorder="1"/>
    <xf numFmtId="0" fontId="45" fillId="0" borderId="0" xfId="0" applyFont="1"/>
    <xf numFmtId="7" fontId="45" fillId="0" borderId="0" xfId="5" applyNumberFormat="1" applyFont="1"/>
    <xf numFmtId="164" fontId="46" fillId="0" borderId="0" xfId="5" applyNumberFormat="1" applyFont="1"/>
    <xf numFmtId="44" fontId="45" fillId="0" borderId="0" xfId="5" applyFont="1"/>
    <xf numFmtId="7" fontId="45" fillId="0" borderId="3" xfId="5" applyNumberFormat="1" applyFont="1" applyBorder="1"/>
    <xf numFmtId="7" fontId="46" fillId="0" borderId="0" xfId="0" applyNumberFormat="1" applyFont="1"/>
    <xf numFmtId="0" fontId="30" fillId="0" borderId="2" xfId="0" applyFont="1" applyBorder="1"/>
    <xf numFmtId="41" fontId="30" fillId="0" borderId="2" xfId="0" applyNumberFormat="1" applyFont="1" applyBorder="1" applyAlignment="1" applyProtection="1">
      <alignment horizontal="right"/>
      <protection locked="0"/>
    </xf>
    <xf numFmtId="0" fontId="30" fillId="0" borderId="2" xfId="0" applyFont="1" applyBorder="1" applyAlignment="1">
      <alignment wrapText="1"/>
    </xf>
    <xf numFmtId="0" fontId="30" fillId="0" borderId="2" xfId="0" applyFont="1" applyFill="1" applyBorder="1" applyAlignment="1">
      <alignment wrapText="1"/>
    </xf>
    <xf numFmtId="0" fontId="36" fillId="0" borderId="2" xfId="0" applyFont="1" applyBorder="1" applyAlignment="1">
      <alignment horizontal="left"/>
    </xf>
    <xf numFmtId="41" fontId="30" fillId="0" borderId="2" xfId="0" applyNumberFormat="1" applyFont="1" applyFill="1" applyBorder="1"/>
    <xf numFmtId="41" fontId="30" fillId="0" borderId="2" xfId="0" applyNumberFormat="1" applyFont="1" applyFill="1" applyBorder="1" applyAlignment="1" applyProtection="1">
      <alignment horizontal="right"/>
      <protection locked="0"/>
    </xf>
    <xf numFmtId="0" fontId="30" fillId="0" borderId="2" xfId="0" applyFont="1" applyBorder="1" applyAlignment="1">
      <alignment horizontal="center" wrapText="1"/>
    </xf>
    <xf numFmtId="41" fontId="30" fillId="0" borderId="2" xfId="0" applyNumberFormat="1" applyFont="1" applyFill="1" applyBorder="1" applyProtection="1">
      <protection locked="0"/>
    </xf>
    <xf numFmtId="0" fontId="47" fillId="0" borderId="0" xfId="0" applyFont="1" applyBorder="1" applyAlignment="1">
      <alignment horizontal="right"/>
    </xf>
    <xf numFmtId="7" fontId="48" fillId="0" borderId="0" xfId="5" applyNumberFormat="1" applyFont="1"/>
    <xf numFmtId="0" fontId="48" fillId="0" borderId="0" xfId="0" applyFont="1"/>
    <xf numFmtId="0" fontId="47" fillId="0" borderId="0" xfId="0" applyFont="1" applyAlignment="1">
      <alignment horizontal="right"/>
    </xf>
    <xf numFmtId="7" fontId="48" fillId="0" borderId="3" xfId="5" applyNumberFormat="1" applyFont="1" applyBorder="1" applyAlignment="1">
      <alignment horizontal="center"/>
    </xf>
    <xf numFmtId="0" fontId="48" fillId="0" borderId="3" xfId="0" applyFont="1" applyBorder="1" applyAlignment="1">
      <alignment horizontal="center"/>
    </xf>
    <xf numFmtId="0" fontId="48" fillId="0" borderId="0" xfId="0" applyFont="1" applyBorder="1" applyAlignment="1">
      <alignment horizontal="right" wrapText="1"/>
    </xf>
    <xf numFmtId="41" fontId="48" fillId="7" borderId="0" xfId="5" applyNumberFormat="1" applyFont="1" applyFill="1"/>
    <xf numFmtId="0" fontId="48" fillId="0" borderId="0" xfId="0" applyFont="1" applyAlignment="1">
      <alignment horizontal="right"/>
    </xf>
    <xf numFmtId="41" fontId="48" fillId="0" borderId="0" xfId="5" applyNumberFormat="1" applyFont="1"/>
    <xf numFmtId="41" fontId="48" fillId="8" borderId="0" xfId="5" applyNumberFormat="1" applyFont="1" applyFill="1"/>
    <xf numFmtId="164" fontId="48" fillId="0" borderId="0" xfId="5" applyNumberFormat="1" applyFont="1"/>
    <xf numFmtId="7" fontId="48" fillId="0" borderId="0" xfId="5" applyNumberFormat="1" applyFont="1" applyBorder="1" applyAlignment="1">
      <alignment horizontal="center"/>
    </xf>
    <xf numFmtId="41" fontId="30" fillId="0" borderId="0" xfId="0" applyNumberFormat="1" applyFont="1" applyBorder="1" applyAlignment="1">
      <alignment horizontal="right"/>
    </xf>
    <xf numFmtId="0" fontId="36" fillId="0" borderId="2" xfId="0" applyFont="1" applyBorder="1" applyAlignment="1">
      <alignment horizontal="center"/>
    </xf>
    <xf numFmtId="41" fontId="49" fillId="0" borderId="0" xfId="5" applyNumberFormat="1" applyFont="1" applyBorder="1"/>
    <xf numFmtId="0" fontId="34" fillId="0" borderId="0" xfId="0" applyFont="1" applyBorder="1"/>
    <xf numFmtId="0" fontId="36" fillId="0" borderId="0" xfId="0" applyFont="1" applyBorder="1" applyAlignment="1">
      <alignment horizontal="center" wrapText="1"/>
    </xf>
    <xf numFmtId="0" fontId="48" fillId="0" borderId="0" xfId="0" applyFont="1" applyBorder="1" applyAlignment="1">
      <alignment horizontal="right"/>
    </xf>
    <xf numFmtId="2" fontId="36" fillId="0" borderId="2" xfId="0" applyNumberFormat="1" applyFont="1" applyFill="1" applyBorder="1" applyAlignment="1">
      <alignment wrapText="1"/>
    </xf>
    <xf numFmtId="0" fontId="50" fillId="0" borderId="0" xfId="0" applyFont="1" applyBorder="1" applyAlignment="1">
      <alignment horizontal="center"/>
    </xf>
    <xf numFmtId="0" fontId="30" fillId="0" borderId="0" xfId="0" applyFont="1" applyBorder="1"/>
    <xf numFmtId="0" fontId="36" fillId="0" borderId="0" xfId="0" applyFont="1" applyFill="1" applyBorder="1" applyAlignment="1">
      <alignment wrapText="1"/>
    </xf>
    <xf numFmtId="41" fontId="36" fillId="0" borderId="0" xfId="0" applyNumberFormat="1" applyFont="1" applyFill="1" applyBorder="1" applyAlignment="1">
      <alignment horizontal="left"/>
    </xf>
    <xf numFmtId="41" fontId="30" fillId="0" borderId="0" xfId="0" applyNumberFormat="1" applyFont="1" applyFill="1" applyBorder="1" applyAlignment="1">
      <alignment horizontal="right"/>
    </xf>
    <xf numFmtId="0" fontId="30" fillId="0" borderId="0" xfId="0" applyFont="1" applyBorder="1" applyAlignment="1">
      <alignment wrapText="1"/>
    </xf>
    <xf numFmtId="0" fontId="30" fillId="0" borderId="0" xfId="0" applyFont="1" applyBorder="1" applyAlignment="1">
      <alignment horizontal="center" wrapText="1"/>
    </xf>
    <xf numFmtId="41" fontId="30" fillId="0" borderId="0" xfId="0" applyNumberFormat="1" applyFont="1" applyBorder="1" applyAlignment="1" applyProtection="1">
      <alignment horizontal="right"/>
      <protection locked="0"/>
    </xf>
    <xf numFmtId="41" fontId="30" fillId="0" borderId="0" xfId="0" applyNumberFormat="1" applyFont="1" applyFill="1" applyBorder="1"/>
    <xf numFmtId="164" fontId="30" fillId="0" borderId="0" xfId="0" applyNumberFormat="1" applyFont="1" applyBorder="1" applyAlignment="1" applyProtection="1">
      <alignment horizontal="right"/>
      <protection locked="0"/>
    </xf>
    <xf numFmtId="0" fontId="33" fillId="0" borderId="0" xfId="0" applyFont="1" applyBorder="1" applyAlignment="1">
      <alignment horizontal="center"/>
    </xf>
    <xf numFmtId="41" fontId="30" fillId="0" borderId="0" xfId="0" applyNumberFormat="1" applyFont="1" applyBorder="1" applyProtection="1">
      <protection locked="0"/>
    </xf>
    <xf numFmtId="41" fontId="30" fillId="0" borderId="0" xfId="0" applyNumberFormat="1" applyFont="1" applyFill="1" applyBorder="1" applyAlignment="1" applyProtection="1">
      <alignment horizontal="right"/>
    </xf>
    <xf numFmtId="4" fontId="30" fillId="0" borderId="0" xfId="0" applyNumberFormat="1" applyFont="1" applyBorder="1" applyAlignment="1">
      <alignment horizontal="right"/>
    </xf>
    <xf numFmtId="4" fontId="30" fillId="0" borderId="0" xfId="0" applyNumberFormat="1" applyFont="1" applyBorder="1"/>
    <xf numFmtId="164" fontId="30" fillId="0" borderId="0" xfId="0" applyNumberFormat="1" applyFont="1" applyBorder="1" applyAlignment="1">
      <alignment horizontal="right"/>
    </xf>
    <xf numFmtId="164" fontId="30" fillId="0" borderId="0" xfId="0" applyNumberFormat="1" applyFont="1" applyBorder="1"/>
    <xf numFmtId="0" fontId="34" fillId="0" borderId="0" xfId="0" applyFont="1" applyBorder="1" applyAlignment="1">
      <alignment wrapText="1"/>
    </xf>
    <xf numFmtId="164" fontId="34" fillId="0" borderId="0" xfId="0" applyNumberFormat="1" applyFont="1" applyBorder="1" applyAlignment="1">
      <alignment horizontal="right"/>
    </xf>
    <xf numFmtId="164" fontId="34" fillId="0" borderId="0" xfId="0" applyNumberFormat="1" applyFont="1" applyBorder="1"/>
    <xf numFmtId="0" fontId="34" fillId="0" borderId="0" xfId="0" applyFont="1" applyBorder="1" applyAlignment="1">
      <alignment horizontal="left" wrapText="1"/>
    </xf>
    <xf numFmtId="0" fontId="30" fillId="0" borderId="15" xfId="0" applyFont="1" applyFill="1" applyBorder="1" applyAlignment="1">
      <alignment wrapText="1"/>
    </xf>
    <xf numFmtId="41" fontId="30" fillId="0" borderId="16" xfId="0" applyNumberFormat="1" applyFont="1" applyFill="1" applyBorder="1" applyAlignment="1">
      <alignment horizontal="right"/>
    </xf>
    <xf numFmtId="0" fontId="30" fillId="0" borderId="15" xfId="0" applyFont="1" applyBorder="1" applyAlignment="1">
      <alignment wrapText="1"/>
    </xf>
    <xf numFmtId="41" fontId="36" fillId="9" borderId="2" xfId="0" applyNumberFormat="1" applyFont="1" applyFill="1" applyBorder="1" applyAlignment="1">
      <alignment horizontal="left"/>
    </xf>
    <xf numFmtId="41" fontId="36" fillId="0" borderId="4" xfId="0" applyNumberFormat="1" applyFont="1" applyFill="1" applyBorder="1" applyAlignment="1" applyProtection="1">
      <alignment horizontal="right"/>
    </xf>
    <xf numFmtId="41" fontId="36" fillId="0" borderId="11" xfId="0" applyNumberFormat="1" applyFont="1" applyFill="1" applyBorder="1" applyAlignment="1" applyProtection="1">
      <alignment horizontal="right"/>
    </xf>
    <xf numFmtId="41" fontId="36" fillId="0" borderId="2" xfId="0" applyNumberFormat="1" applyFont="1" applyFill="1" applyBorder="1" applyAlignment="1">
      <alignment horizontal="left"/>
    </xf>
    <xf numFmtId="41" fontId="30" fillId="0" borderId="4" xfId="0" applyNumberFormat="1" applyFont="1" applyFill="1" applyBorder="1" applyAlignment="1" applyProtection="1">
      <alignment horizontal="right"/>
    </xf>
    <xf numFmtId="41" fontId="30" fillId="0" borderId="11" xfId="0" applyNumberFormat="1" applyFont="1" applyFill="1" applyBorder="1" applyAlignment="1" applyProtection="1">
      <alignment horizontal="right"/>
    </xf>
    <xf numFmtId="41" fontId="48" fillId="10" borderId="0" xfId="5" applyNumberFormat="1" applyFont="1" applyFill="1"/>
    <xf numFmtId="41" fontId="48" fillId="11" borderId="0" xfId="5" applyNumberFormat="1" applyFont="1" applyFill="1"/>
    <xf numFmtId="0" fontId="0" fillId="0" borderId="5" xfId="0" applyBorder="1"/>
    <xf numFmtId="0" fontId="0" fillId="0" borderId="18" xfId="0" applyBorder="1"/>
    <xf numFmtId="0" fontId="52" fillId="0" borderId="0" xfId="0" applyFont="1" applyBorder="1" applyAlignment="1">
      <alignment horizontal="center"/>
    </xf>
    <xf numFmtId="0" fontId="52" fillId="0" borderId="16" xfId="0" applyFont="1" applyBorder="1" applyAlignment="1">
      <alignment horizontal="center"/>
    </xf>
    <xf numFmtId="43" fontId="55" fillId="0" borderId="0" xfId="1" applyFont="1" applyBorder="1" applyAlignment="1">
      <alignment vertical="top"/>
    </xf>
    <xf numFmtId="43" fontId="55" fillId="0" borderId="16" xfId="1" applyFont="1" applyBorder="1" applyAlignment="1">
      <alignment vertical="top"/>
    </xf>
    <xf numFmtId="43" fontId="55" fillId="0" borderId="0" xfId="1" applyFont="1" applyBorder="1"/>
    <xf numFmtId="43" fontId="55" fillId="0" borderId="16" xfId="1" applyFont="1" applyBorder="1"/>
    <xf numFmtId="43" fontId="55" fillId="0" borderId="3" xfId="1" applyFont="1" applyBorder="1"/>
    <xf numFmtId="0" fontId="55" fillId="0" borderId="0" xfId="0" applyFont="1"/>
    <xf numFmtId="43" fontId="55" fillId="0" borderId="0" xfId="0" applyNumberFormat="1" applyFont="1"/>
    <xf numFmtId="0" fontId="10" fillId="0" borderId="2" xfId="0" applyFont="1" applyBorder="1" applyAlignment="1">
      <alignment horizontal="center"/>
    </xf>
    <xf numFmtId="41" fontId="30" fillId="11" borderId="2" xfId="0" applyNumberFormat="1" applyFont="1" applyFill="1" applyBorder="1" applyProtection="1">
      <protection locked="0"/>
    </xf>
    <xf numFmtId="41" fontId="30" fillId="11" borderId="2" xfId="0" applyNumberFormat="1" applyFont="1" applyFill="1" applyBorder="1"/>
    <xf numFmtId="41" fontId="30" fillId="10" borderId="2" xfId="0" applyNumberFormat="1" applyFont="1" applyFill="1" applyBorder="1" applyAlignment="1" applyProtection="1">
      <alignment horizontal="right"/>
      <protection locked="0"/>
    </xf>
    <xf numFmtId="41" fontId="30" fillId="10" borderId="2" xfId="0" applyNumberFormat="1" applyFont="1" applyFill="1" applyBorder="1"/>
    <xf numFmtId="0" fontId="30" fillId="0" borderId="15" xfId="0" applyFont="1" applyBorder="1"/>
    <xf numFmtId="49" fontId="37" fillId="0" borderId="0" xfId="0" applyNumberFormat="1" applyFont="1" applyBorder="1" applyAlignment="1">
      <alignment horizontal="center"/>
    </xf>
    <xf numFmtId="0" fontId="36" fillId="0" borderId="4" xfId="0" applyFont="1" applyBorder="1" applyAlignment="1">
      <alignment horizontal="center"/>
    </xf>
    <xf numFmtId="0" fontId="33" fillId="0" borderId="15" xfId="0" applyFont="1" applyBorder="1" applyAlignment="1">
      <alignment horizontal="left" wrapText="1"/>
    </xf>
    <xf numFmtId="0" fontId="33" fillId="0" borderId="0" xfId="0" applyFont="1" applyBorder="1" applyAlignment="1">
      <alignment horizontal="left" wrapText="1"/>
    </xf>
    <xf numFmtId="0" fontId="33" fillId="0" borderId="0" xfId="0" applyFont="1" applyBorder="1" applyAlignment="1">
      <alignment horizontal="center" wrapText="1"/>
    </xf>
    <xf numFmtId="41" fontId="36" fillId="0" borderId="0" xfId="0" applyNumberFormat="1" applyFont="1" applyFill="1" applyBorder="1" applyAlignment="1" applyProtection="1">
      <alignment horizontal="right"/>
    </xf>
    <xf numFmtId="41" fontId="36" fillId="0" borderId="5" xfId="0" applyNumberFormat="1" applyFont="1" applyFill="1" applyBorder="1" applyAlignment="1" applyProtection="1">
      <alignment horizontal="right"/>
    </xf>
    <xf numFmtId="0" fontId="33" fillId="0" borderId="5" xfId="0" applyFont="1" applyBorder="1" applyAlignment="1">
      <alignment horizontal="left" wrapText="1"/>
    </xf>
    <xf numFmtId="0" fontId="33" fillId="0" borderId="5" xfId="0" applyFont="1" applyBorder="1" applyAlignment="1">
      <alignment horizontal="center"/>
    </xf>
    <xf numFmtId="0" fontId="33" fillId="0" borderId="3" xfId="0" applyFont="1" applyBorder="1" applyAlignment="1">
      <alignment horizontal="center"/>
    </xf>
    <xf numFmtId="41" fontId="36" fillId="0" borderId="3" xfId="0" applyNumberFormat="1" applyFont="1" applyFill="1" applyBorder="1" applyAlignment="1" applyProtection="1">
      <alignment horizontal="right"/>
    </xf>
    <xf numFmtId="0" fontId="39" fillId="0" borderId="15" xfId="0" applyFont="1" applyBorder="1" applyAlignment="1">
      <alignment horizontal="left"/>
    </xf>
    <xf numFmtId="0" fontId="38" fillId="0" borderId="3" xfId="0" applyFont="1" applyBorder="1" applyAlignment="1">
      <alignment horizontal="left" wrapText="1"/>
    </xf>
    <xf numFmtId="0" fontId="38" fillId="0" borderId="3" xfId="0" applyFont="1" applyBorder="1" applyAlignment="1">
      <alignment horizontal="center"/>
    </xf>
    <xf numFmtId="164" fontId="36" fillId="7" borderId="2" xfId="0" applyNumberFormat="1" applyFont="1" applyFill="1" applyBorder="1" applyAlignment="1">
      <alignment horizontal="center" wrapText="1"/>
    </xf>
    <xf numFmtId="0" fontId="33" fillId="12" borderId="10" xfId="0" applyFont="1" applyFill="1" applyBorder="1" applyAlignment="1"/>
    <xf numFmtId="0" fontId="36" fillId="12" borderId="4" xfId="0" applyFont="1" applyFill="1" applyBorder="1" applyAlignment="1">
      <alignment horizontal="center" wrapText="1"/>
    </xf>
    <xf numFmtId="0" fontId="39" fillId="12" borderId="4" xfId="0" applyFont="1" applyFill="1" applyBorder="1" applyAlignment="1">
      <alignment wrapText="1"/>
    </xf>
    <xf numFmtId="164" fontId="36" fillId="12" borderId="2" xfId="0" applyNumberFormat="1" applyFont="1" applyFill="1" applyBorder="1" applyAlignment="1">
      <alignment horizontal="center" wrapText="1"/>
    </xf>
    <xf numFmtId="0" fontId="33" fillId="13" borderId="2" xfId="0" applyFont="1" applyFill="1" applyBorder="1" applyAlignment="1"/>
    <xf numFmtId="0" fontId="36" fillId="13" borderId="2" xfId="0" applyFont="1" applyFill="1" applyBorder="1" applyAlignment="1">
      <alignment horizontal="center" wrapText="1"/>
    </xf>
    <xf numFmtId="164" fontId="36" fillId="13" borderId="2" xfId="0" applyNumberFormat="1" applyFont="1" applyFill="1" applyBorder="1" applyAlignment="1">
      <alignment horizontal="center" wrapText="1"/>
    </xf>
    <xf numFmtId="0" fontId="33" fillId="10" borderId="10" xfId="0" applyFont="1" applyFill="1" applyBorder="1" applyAlignment="1"/>
    <xf numFmtId="0" fontId="36" fillId="10" borderId="4" xfId="0" applyFont="1" applyFill="1" applyBorder="1" applyAlignment="1">
      <alignment horizontal="center" wrapText="1"/>
    </xf>
    <xf numFmtId="41" fontId="30" fillId="10" borderId="4" xfId="0" applyNumberFormat="1" applyFont="1" applyFill="1" applyBorder="1" applyAlignment="1" applyProtection="1">
      <alignment horizontal="right"/>
      <protection locked="0"/>
    </xf>
    <xf numFmtId="41" fontId="30" fillId="10" borderId="11" xfId="0" applyNumberFormat="1" applyFont="1" applyFill="1" applyBorder="1" applyAlignment="1" applyProtection="1">
      <alignment horizontal="right"/>
      <protection locked="0"/>
    </xf>
    <xf numFmtId="164" fontId="36" fillId="11" borderId="2" xfId="0" applyNumberFormat="1" applyFont="1" applyFill="1" applyBorder="1" applyAlignment="1">
      <alignment horizontal="center" wrapText="1"/>
    </xf>
    <xf numFmtId="41" fontId="30" fillId="11" borderId="4" xfId="0" applyNumberFormat="1" applyFont="1" applyFill="1" applyBorder="1" applyAlignment="1" applyProtection="1">
      <alignment horizontal="right"/>
      <protection locked="0"/>
    </xf>
    <xf numFmtId="41" fontId="30" fillId="11" borderId="4" xfId="0" applyNumberFormat="1" applyFont="1" applyFill="1" applyBorder="1" applyProtection="1">
      <protection locked="0"/>
    </xf>
    <xf numFmtId="41" fontId="30" fillId="11" borderId="11" xfId="0" applyNumberFormat="1" applyFont="1" applyFill="1" applyBorder="1"/>
    <xf numFmtId="41" fontId="48" fillId="12" borderId="0" xfId="5" applyNumberFormat="1" applyFont="1" applyFill="1"/>
    <xf numFmtId="41" fontId="30" fillId="0" borderId="2" xfId="0" applyNumberFormat="1" applyFont="1" applyFill="1" applyBorder="1" applyAlignment="1">
      <alignment horizontal="right"/>
    </xf>
    <xf numFmtId="0" fontId="39" fillId="0" borderId="0" xfId="0" applyFont="1" applyBorder="1" applyAlignment="1">
      <alignment horizontal="center"/>
    </xf>
    <xf numFmtId="44" fontId="36" fillId="0" borderId="2" xfId="0" applyNumberFormat="1" applyFont="1" applyFill="1" applyBorder="1" applyAlignment="1">
      <alignment horizontal="left"/>
    </xf>
    <xf numFmtId="0" fontId="26" fillId="0" borderId="0" xfId="0" applyFont="1" applyBorder="1" applyAlignment="1">
      <alignment horizontal="left" wrapText="1"/>
    </xf>
    <xf numFmtId="0" fontId="28" fillId="0" borderId="0" xfId="0" applyFont="1" applyBorder="1" applyAlignment="1">
      <alignment horizontal="left" wrapText="1"/>
    </xf>
    <xf numFmtId="0" fontId="30" fillId="0" borderId="0" xfId="0" applyFont="1" applyFill="1" applyBorder="1" applyAlignment="1">
      <alignment wrapText="1"/>
    </xf>
    <xf numFmtId="0" fontId="33" fillId="12" borderId="4" xfId="0" applyFont="1" applyFill="1" applyBorder="1" applyAlignment="1"/>
    <xf numFmtId="0" fontId="30" fillId="0" borderId="10" xfId="0" applyFont="1" applyBorder="1"/>
    <xf numFmtId="0" fontId="39" fillId="0" borderId="0" xfId="0" applyFont="1" applyBorder="1" applyAlignment="1">
      <alignment horizontal="left"/>
    </xf>
    <xf numFmtId="0" fontId="33" fillId="10" borderId="4" xfId="0" applyFont="1" applyFill="1" applyBorder="1" applyAlignment="1"/>
    <xf numFmtId="0" fontId="30" fillId="0" borderId="2" xfId="0" applyFont="1" applyFill="1" applyBorder="1" applyAlignment="1">
      <alignment horizontal="right" wrapText="1"/>
    </xf>
    <xf numFmtId="44" fontId="26" fillId="0" borderId="0" xfId="0" applyNumberFormat="1" applyFont="1"/>
    <xf numFmtId="0" fontId="32" fillId="0" borderId="0" xfId="54" applyFont="1" applyFill="1" applyBorder="1" applyAlignment="1">
      <alignment horizontal="center" wrapText="1"/>
    </xf>
    <xf numFmtId="0" fontId="9" fillId="0" borderId="14" xfId="54" applyFont="1" applyFill="1" applyBorder="1" applyAlignment="1">
      <alignment horizontal="center" wrapText="1"/>
    </xf>
    <xf numFmtId="0" fontId="32" fillId="0" borderId="14" xfId="54" applyFont="1" applyFill="1" applyBorder="1" applyAlignment="1">
      <alignment horizontal="left" wrapText="1"/>
    </xf>
    <xf numFmtId="0" fontId="3" fillId="0" borderId="0" xfId="108"/>
    <xf numFmtId="0" fontId="56" fillId="14" borderId="0" xfId="108" applyFont="1" applyFill="1" applyBorder="1" applyAlignment="1">
      <alignment horizontal="center" wrapText="1"/>
    </xf>
    <xf numFmtId="0" fontId="56" fillId="14" borderId="15" xfId="108" applyFont="1" applyFill="1" applyBorder="1" applyAlignment="1">
      <alignment horizontal="center" wrapText="1"/>
    </xf>
    <xf numFmtId="0" fontId="56" fillId="14" borderId="16" xfId="108" applyFont="1" applyFill="1" applyBorder="1" applyAlignment="1">
      <alignment horizontal="center" wrapText="1"/>
    </xf>
    <xf numFmtId="4" fontId="3" fillId="0" borderId="15" xfId="108" applyNumberFormat="1" applyBorder="1"/>
    <xf numFmtId="166" fontId="0" fillId="0" borderId="16" xfId="109" applyNumberFormat="1" applyFont="1" applyBorder="1"/>
    <xf numFmtId="166" fontId="0" fillId="0" borderId="15" xfId="109" applyNumberFormat="1" applyFont="1" applyBorder="1"/>
    <xf numFmtId="166" fontId="0" fillId="0" borderId="19" xfId="109" applyNumberFormat="1" applyFont="1" applyBorder="1"/>
    <xf numFmtId="166" fontId="0" fillId="0" borderId="20" xfId="109" applyNumberFormat="1" applyFont="1" applyBorder="1"/>
    <xf numFmtId="0" fontId="3" fillId="0" borderId="15" xfId="108" applyBorder="1"/>
    <xf numFmtId="0" fontId="3" fillId="0" borderId="16" xfId="108" applyBorder="1"/>
    <xf numFmtId="0" fontId="3" fillId="0" borderId="20" xfId="108" applyBorder="1"/>
    <xf numFmtId="0" fontId="3" fillId="0" borderId="17" xfId="108" applyBorder="1"/>
    <xf numFmtId="0" fontId="3" fillId="0" borderId="5" xfId="108" applyBorder="1"/>
    <xf numFmtId="0" fontId="3" fillId="0" borderId="18" xfId="108" applyBorder="1"/>
    <xf numFmtId="44" fontId="28" fillId="0" borderId="0" xfId="1" applyNumberFormat="1" applyFont="1" applyBorder="1"/>
    <xf numFmtId="16" fontId="5" fillId="0" borderId="0" xfId="0" quotePrefix="1" applyNumberFormat="1" applyFont="1"/>
    <xf numFmtId="171" fontId="42" fillId="0" borderId="0" xfId="5" applyNumberFormat="1" applyFont="1" applyAlignment="1">
      <alignment vertical="center"/>
    </xf>
    <xf numFmtId="166" fontId="42" fillId="0" borderId="0" xfId="1" quotePrefix="1" applyNumberFormat="1" applyFont="1" applyAlignment="1">
      <alignment horizontal="center" vertical="center"/>
    </xf>
    <xf numFmtId="171" fontId="42" fillId="0" borderId="0" xfId="5" quotePrefix="1" applyNumberFormat="1" applyFont="1" applyAlignment="1">
      <alignment horizontal="center" vertical="center"/>
    </xf>
    <xf numFmtId="0" fontId="94" fillId="0" borderId="0" xfId="0" applyFont="1" applyAlignment="1">
      <alignment horizontal="center" vertical="center"/>
    </xf>
    <xf numFmtId="171" fontId="94" fillId="0" borderId="0" xfId="5" applyNumberFormat="1" applyFont="1" applyAlignment="1">
      <alignment vertical="center"/>
    </xf>
    <xf numFmtId="0" fontId="96" fillId="0" borderId="0" xfId="0" applyFont="1" applyAlignment="1">
      <alignment horizontal="center" vertical="center" wrapText="1"/>
    </xf>
    <xf numFmtId="0" fontId="0" fillId="0" borderId="0" xfId="0" applyFill="1"/>
    <xf numFmtId="166" fontId="0" fillId="0" borderId="0" xfId="109" applyNumberFormat="1" applyFont="1" applyBorder="1"/>
    <xf numFmtId="0" fontId="3" fillId="0" borderId="0" xfId="108" applyBorder="1"/>
    <xf numFmtId="0" fontId="3" fillId="0" borderId="3" xfId="108" applyBorder="1"/>
    <xf numFmtId="0" fontId="98" fillId="0" borderId="0" xfId="110" applyNumberFormat="1" applyFont="1" applyAlignment="1">
      <alignment horizontal="left" vertical="top" wrapText="1"/>
    </xf>
    <xf numFmtId="0" fontId="97" fillId="0" borderId="0" xfId="110"/>
    <xf numFmtId="0" fontId="31" fillId="0" borderId="50" xfId="110" applyNumberFormat="1" applyFont="1" applyBorder="1" applyAlignment="1">
      <alignment horizontal="center" vertical="center" wrapText="1"/>
    </xf>
    <xf numFmtId="0" fontId="31" fillId="0" borderId="0" xfId="110" applyNumberFormat="1" applyFont="1" applyAlignment="1">
      <alignment horizontal="center" vertical="center" wrapText="1"/>
    </xf>
    <xf numFmtId="0" fontId="31" fillId="0" borderId="0" xfId="110" applyNumberFormat="1" applyFont="1" applyAlignment="1">
      <alignment horizontal="left" vertical="top" wrapText="1"/>
    </xf>
    <xf numFmtId="174" fontId="31" fillId="0" borderId="0" xfId="110" applyNumberFormat="1" applyFont="1" applyAlignment="1">
      <alignment horizontal="center" vertical="center" wrapText="1"/>
    </xf>
    <xf numFmtId="0" fontId="31" fillId="0" borderId="0" xfId="110" applyNumberFormat="1" applyFont="1" applyAlignment="1">
      <alignment horizontal="left" vertical="center" wrapText="1"/>
    </xf>
    <xf numFmtId="0" fontId="31" fillId="0" borderId="0" xfId="110" applyNumberFormat="1" applyFont="1" applyAlignment="1">
      <alignment horizontal="right" vertical="center" wrapText="1"/>
    </xf>
    <xf numFmtId="175" fontId="31" fillId="0" borderId="0" xfId="110" applyNumberFormat="1" applyFont="1" applyAlignment="1">
      <alignment horizontal="right" vertical="center" wrapText="1"/>
    </xf>
    <xf numFmtId="0" fontId="6" fillId="0" borderId="0" xfId="0" applyFont="1" applyAlignment="1">
      <alignment wrapText="1"/>
    </xf>
    <xf numFmtId="166" fontId="23" fillId="0" borderId="3" xfId="1" applyNumberFormat="1" applyFont="1" applyBorder="1" applyAlignment="1">
      <alignment horizontal="right" wrapText="1"/>
    </xf>
    <xf numFmtId="166" fontId="25" fillId="0" borderId="0" xfId="1" applyNumberFormat="1" applyFont="1" applyAlignment="1">
      <alignment horizontal="right" wrapText="1"/>
    </xf>
    <xf numFmtId="0" fontId="51" fillId="0" borderId="0" xfId="0" applyFont="1" applyFill="1"/>
    <xf numFmtId="0" fontId="0" fillId="0" borderId="17" xfId="0" applyFill="1" applyBorder="1"/>
    <xf numFmtId="0" fontId="0" fillId="0" borderId="5" xfId="0" applyFill="1" applyBorder="1"/>
    <xf numFmtId="0" fontId="0" fillId="0" borderId="18" xfId="0" applyFill="1" applyBorder="1"/>
    <xf numFmtId="0" fontId="0" fillId="0" borderId="0" xfId="0" applyFill="1" applyBorder="1"/>
    <xf numFmtId="0" fontId="52" fillId="0" borderId="0" xfId="0" applyFont="1" applyFill="1"/>
    <xf numFmtId="0" fontId="52" fillId="0" borderId="0" xfId="0" applyFont="1" applyFill="1" applyAlignment="1">
      <alignment horizontal="center"/>
    </xf>
    <xf numFmtId="0" fontId="53" fillId="0" borderId="0" xfId="0" applyFont="1" applyFill="1" applyAlignment="1">
      <alignment horizontal="center"/>
    </xf>
    <xf numFmtId="0" fontId="54" fillId="0" borderId="15" xfId="0" applyFont="1" applyFill="1" applyBorder="1" applyAlignment="1">
      <alignment horizontal="center"/>
    </xf>
    <xf numFmtId="0" fontId="52" fillId="0" borderId="0" xfId="0" applyFont="1" applyFill="1" applyBorder="1" applyAlignment="1">
      <alignment horizontal="center"/>
    </xf>
    <xf numFmtId="0" fontId="52" fillId="0" borderId="16" xfId="0" applyFont="1" applyFill="1" applyBorder="1" applyAlignment="1">
      <alignment horizontal="center"/>
    </xf>
    <xf numFmtId="0" fontId="0" fillId="0" borderId="0" xfId="0" applyFill="1" applyAlignment="1">
      <alignment vertical="top"/>
    </xf>
    <xf numFmtId="166" fontId="0" fillId="0" borderId="0" xfId="1" applyNumberFormat="1" applyFont="1" applyFill="1" applyAlignment="1">
      <alignment vertical="top"/>
    </xf>
    <xf numFmtId="171" fontId="0" fillId="0" borderId="15" xfId="5" applyNumberFormat="1" applyFont="1" applyFill="1" applyBorder="1" applyAlignment="1">
      <alignment vertical="top"/>
    </xf>
    <xf numFmtId="0" fontId="55" fillId="0" borderId="0" xfId="0" applyFont="1" applyFill="1" applyBorder="1" applyAlignment="1">
      <alignment vertical="top"/>
    </xf>
    <xf numFmtId="43" fontId="55" fillId="0" borderId="0" xfId="1" applyFont="1" applyFill="1" applyBorder="1" applyAlignment="1">
      <alignment vertical="top"/>
    </xf>
    <xf numFmtId="43" fontId="55" fillId="0" borderId="16" xfId="1" applyFont="1" applyFill="1" applyBorder="1" applyAlignment="1">
      <alignment vertical="top"/>
    </xf>
    <xf numFmtId="0" fontId="55" fillId="0" borderId="0" xfId="0" applyFont="1" applyFill="1" applyBorder="1" applyAlignment="1">
      <alignment vertical="top" wrapText="1"/>
    </xf>
    <xf numFmtId="166" fontId="0" fillId="0" borderId="0" xfId="1" applyNumberFormat="1" applyFont="1" applyFill="1"/>
    <xf numFmtId="171" fontId="0" fillId="0" borderId="15" xfId="5" applyNumberFormat="1" applyFont="1" applyFill="1" applyBorder="1"/>
    <xf numFmtId="0" fontId="55" fillId="0" borderId="0" xfId="0" applyFont="1" applyFill="1" applyBorder="1"/>
    <xf numFmtId="43" fontId="55" fillId="0" borderId="0" xfId="1" applyFont="1" applyFill="1" applyBorder="1"/>
    <xf numFmtId="43" fontId="55" fillId="0" borderId="16" xfId="1" applyFont="1" applyFill="1" applyBorder="1"/>
    <xf numFmtId="171" fontId="0" fillId="0" borderId="19" xfId="5" applyNumberFormat="1" applyFont="1" applyFill="1" applyBorder="1"/>
    <xf numFmtId="0" fontId="55" fillId="0" borderId="3" xfId="0" applyFont="1" applyFill="1" applyBorder="1"/>
    <xf numFmtId="43" fontId="55" fillId="0" borderId="3" xfId="1" applyFont="1" applyFill="1" applyBorder="1"/>
    <xf numFmtId="43" fontId="55" fillId="0" borderId="20" xfId="1" applyFont="1" applyFill="1" applyBorder="1"/>
    <xf numFmtId="0" fontId="55" fillId="0" borderId="0" xfId="0" applyFont="1" applyFill="1"/>
    <xf numFmtId="43" fontId="55" fillId="0" borderId="0" xfId="0" applyNumberFormat="1" applyFont="1" applyFill="1"/>
    <xf numFmtId="0" fontId="0" fillId="0" borderId="0" xfId="0" applyFill="1" applyAlignment="1">
      <alignment horizontal="right"/>
    </xf>
    <xf numFmtId="166" fontId="0" fillId="0" borderId="16" xfId="1" applyNumberFormat="1" applyFont="1" applyBorder="1"/>
    <xf numFmtId="0" fontId="0" fillId="0" borderId="20" xfId="0" applyBorder="1"/>
    <xf numFmtId="43" fontId="0" fillId="0" borderId="16" xfId="0" applyNumberFormat="1" applyBorder="1"/>
    <xf numFmtId="0" fontId="0" fillId="0" borderId="16" xfId="0" applyNumberFormat="1" applyBorder="1"/>
    <xf numFmtId="4" fontId="0" fillId="0" borderId="19" xfId="0" applyNumberFormat="1" applyBorder="1"/>
    <xf numFmtId="166" fontId="0" fillId="0" borderId="3" xfId="0" applyNumberFormat="1" applyBorder="1"/>
    <xf numFmtId="43" fontId="0" fillId="0" borderId="20" xfId="0" applyNumberFormat="1" applyBorder="1"/>
    <xf numFmtId="0" fontId="3" fillId="0" borderId="5" xfId="108" applyBorder="1" applyAlignment="1">
      <alignment horizontal="right"/>
    </xf>
    <xf numFmtId="49" fontId="3" fillId="0" borderId="15" xfId="108" quotePrefix="1" applyNumberFormat="1" applyBorder="1"/>
    <xf numFmtId="49" fontId="3" fillId="0" borderId="0" xfId="108" quotePrefix="1" applyNumberFormat="1" applyBorder="1"/>
    <xf numFmtId="166" fontId="0" fillId="0" borderId="0" xfId="1" applyNumberFormat="1" applyFont="1" applyBorder="1"/>
    <xf numFmtId="4" fontId="0" fillId="0" borderId="0" xfId="0" applyNumberFormat="1" applyBorder="1"/>
    <xf numFmtId="166" fontId="0" fillId="0" borderId="0" xfId="0" applyNumberFormat="1" applyBorder="1"/>
    <xf numFmtId="49" fontId="3" fillId="0" borderId="15" xfId="108" applyNumberFormat="1" applyBorder="1"/>
    <xf numFmtId="49" fontId="3" fillId="0" borderId="0" xfId="108" applyNumberFormat="1" applyBorder="1"/>
    <xf numFmtId="49" fontId="3" fillId="0" borderId="19" xfId="108" applyNumberFormat="1" applyBorder="1"/>
    <xf numFmtId="49" fontId="3" fillId="0" borderId="3" xfId="108" applyNumberFormat="1" applyBorder="1"/>
    <xf numFmtId="10" fontId="26" fillId="0" borderId="0" xfId="15" applyNumberFormat="1" applyFont="1" applyFill="1" applyBorder="1"/>
    <xf numFmtId="166" fontId="23" fillId="0" borderId="0" xfId="1" applyNumberFormat="1" applyFont="1" applyFill="1" applyAlignment="1">
      <alignment horizontal="right" wrapText="1"/>
    </xf>
    <xf numFmtId="0" fontId="9" fillId="61" borderId="49" xfId="54" applyFont="1" applyFill="1" applyBorder="1" applyAlignment="1">
      <alignment horizontal="left" vertical="center" wrapText="1"/>
    </xf>
    <xf numFmtId="0" fontId="9" fillId="61" borderId="49" xfId="54" applyFont="1" applyFill="1" applyBorder="1" applyAlignment="1">
      <alignment horizontal="left" vertical="top" wrapText="1"/>
    </xf>
    <xf numFmtId="0" fontId="72" fillId="0" borderId="0" xfId="54" applyFill="1" applyBorder="1" applyAlignment="1">
      <alignment horizontal="left" vertical="top"/>
    </xf>
    <xf numFmtId="0" fontId="5" fillId="0" borderId="49" xfId="54" applyFont="1" applyFill="1" applyBorder="1" applyAlignment="1">
      <alignment horizontal="left" vertical="top" wrapText="1"/>
    </xf>
    <xf numFmtId="0" fontId="5" fillId="0" borderId="49" xfId="54" applyFont="1" applyFill="1" applyBorder="1" applyAlignment="1">
      <alignment horizontal="center" vertical="top" wrapText="1"/>
    </xf>
    <xf numFmtId="165" fontId="93" fillId="0" borderId="49" xfId="54" applyNumberFormat="1" applyFont="1" applyFill="1" applyBorder="1" applyAlignment="1">
      <alignment horizontal="left" vertical="top" wrapText="1"/>
    </xf>
    <xf numFmtId="0" fontId="100" fillId="0" borderId="0" xfId="111" applyFont="1"/>
    <xf numFmtId="0" fontId="101" fillId="0" borderId="0" xfId="111" applyFont="1" applyBorder="1" applyAlignment="1">
      <alignment horizontal="center" wrapText="1"/>
    </xf>
    <xf numFmtId="0" fontId="101" fillId="0" borderId="51" xfId="111" applyFont="1" applyBorder="1"/>
    <xf numFmtId="0" fontId="101" fillId="0" borderId="22" xfId="111" applyFont="1" applyBorder="1"/>
    <xf numFmtId="0" fontId="101" fillId="62" borderId="52" xfId="111" applyFont="1" applyFill="1" applyBorder="1"/>
    <xf numFmtId="0" fontId="101" fillId="62" borderId="0" xfId="111" applyFont="1" applyFill="1" applyBorder="1"/>
    <xf numFmtId="0" fontId="101" fillId="0" borderId="52" xfId="111" applyFont="1" applyBorder="1"/>
    <xf numFmtId="0" fontId="101" fillId="0" borderId="0" xfId="111" applyFont="1" applyBorder="1"/>
    <xf numFmtId="0" fontId="101" fillId="0" borderId="53" xfId="111" applyFont="1" applyBorder="1"/>
    <xf numFmtId="0" fontId="101" fillId="0" borderId="21" xfId="111" applyFont="1" applyBorder="1"/>
    <xf numFmtId="0" fontId="101" fillId="0" borderId="0" xfId="111" applyFont="1"/>
    <xf numFmtId="0" fontId="101" fillId="0" borderId="0" xfId="111" applyFont="1" applyAlignment="1">
      <alignment horizontal="right"/>
    </xf>
    <xf numFmtId="0" fontId="102" fillId="0" borderId="0" xfId="111" applyFont="1"/>
    <xf numFmtId="2" fontId="101" fillId="62" borderId="0" xfId="111" applyNumberFormat="1" applyFont="1" applyFill="1" applyBorder="1"/>
    <xf numFmtId="4" fontId="101" fillId="0" borderId="22" xfId="111" applyNumberFormat="1" applyFont="1" applyBorder="1"/>
    <xf numFmtId="4" fontId="101" fillId="62" borderId="0" xfId="111" applyNumberFormat="1" applyFont="1" applyFill="1" applyBorder="1"/>
    <xf numFmtId="4" fontId="101" fillId="0" borderId="0" xfId="111" applyNumberFormat="1" applyFont="1" applyBorder="1"/>
    <xf numFmtId="0" fontId="9" fillId="63" borderId="49" xfId="54" applyFont="1" applyFill="1" applyBorder="1" applyAlignment="1">
      <alignment horizontal="center" vertical="top" wrapText="1"/>
    </xf>
    <xf numFmtId="0" fontId="9" fillId="63" borderId="49" xfId="54" applyFont="1" applyFill="1" applyBorder="1" applyAlignment="1">
      <alignment horizontal="left" vertical="top" wrapText="1"/>
    </xf>
    <xf numFmtId="0" fontId="31" fillId="5" borderId="14" xfId="54" applyFont="1" applyFill="1" applyBorder="1" applyAlignment="1">
      <alignment horizontal="left" wrapText="1"/>
    </xf>
    <xf numFmtId="0" fontId="31" fillId="5" borderId="14" xfId="54" applyFont="1" applyFill="1" applyBorder="1" applyAlignment="1">
      <alignment horizontal="center" wrapText="1"/>
    </xf>
    <xf numFmtId="165" fontId="31" fillId="5" borderId="14" xfId="54" applyNumberFormat="1" applyFont="1" applyFill="1" applyBorder="1" applyAlignment="1">
      <alignment horizontal="center" wrapText="1"/>
    </xf>
    <xf numFmtId="0" fontId="72" fillId="0" borderId="0" xfId="54"/>
    <xf numFmtId="0" fontId="35" fillId="0" borderId="49" xfId="54" applyFont="1" applyFill="1" applyBorder="1" applyAlignment="1">
      <alignment horizontal="left" vertical="top" wrapText="1"/>
    </xf>
    <xf numFmtId="0" fontId="35" fillId="0" borderId="49" xfId="54" applyFont="1" applyFill="1" applyBorder="1" applyAlignment="1">
      <alignment horizontal="center" vertical="top" wrapText="1"/>
    </xf>
    <xf numFmtId="0" fontId="34" fillId="0" borderId="49" xfId="54" applyFont="1" applyFill="1" applyBorder="1" applyAlignment="1">
      <alignment horizontal="left" vertical="top" wrapText="1"/>
    </xf>
    <xf numFmtId="0" fontId="72" fillId="0" borderId="49" xfId="54" applyFill="1" applyBorder="1" applyAlignment="1">
      <alignment horizontal="left" vertical="top" wrapText="1"/>
    </xf>
    <xf numFmtId="44" fontId="72" fillId="0" borderId="49" xfId="54" applyNumberFormat="1" applyFill="1" applyBorder="1" applyAlignment="1">
      <alignment horizontal="left" vertical="top"/>
    </xf>
    <xf numFmtId="0" fontId="5" fillId="0" borderId="0" xfId="114" applyFont="1" applyFill="1"/>
    <xf numFmtId="0" fontId="1" fillId="0" borderId="0" xfId="114" applyFill="1"/>
    <xf numFmtId="0" fontId="1" fillId="0" borderId="0" xfId="114"/>
    <xf numFmtId="0" fontId="5" fillId="0" borderId="0" xfId="114" applyFont="1"/>
    <xf numFmtId="43" fontId="106" fillId="0" borderId="0" xfId="114" applyNumberFormat="1" applyFont="1"/>
    <xf numFmtId="0" fontId="50" fillId="0" borderId="0" xfId="0" applyFont="1" applyBorder="1" applyAlignment="1">
      <alignment horizontal="center"/>
    </xf>
    <xf numFmtId="0" fontId="48" fillId="0" borderId="0" xfId="5" applyNumberFormat="1" applyFont="1" applyAlignment="1">
      <alignment horizontal="center"/>
    </xf>
    <xf numFmtId="7" fontId="48" fillId="0" borderId="0" xfId="5" applyNumberFormat="1" applyFont="1" applyAlignment="1">
      <alignment horizontal="center"/>
    </xf>
    <xf numFmtId="0" fontId="33" fillId="0" borderId="10" xfId="0" applyFont="1" applyBorder="1" applyAlignment="1">
      <alignment horizontal="left"/>
    </xf>
    <xf numFmtId="0" fontId="33" fillId="0" borderId="4" xfId="0" applyFont="1" applyBorder="1" applyAlignment="1">
      <alignment horizontal="left"/>
    </xf>
    <xf numFmtId="0" fontId="33" fillId="0" borderId="10" xfId="0" applyFont="1" applyBorder="1" applyAlignment="1">
      <alignment horizontal="left" wrapText="1"/>
    </xf>
    <xf numFmtId="0" fontId="33" fillId="0" borderId="4" xfId="0" applyFont="1" applyBorder="1" applyAlignment="1">
      <alignment horizontal="left" wrapText="1"/>
    </xf>
    <xf numFmtId="0" fontId="33" fillId="0" borderId="4" xfId="0" applyFont="1" applyBorder="1" applyAlignment="1">
      <alignment horizontal="center"/>
    </xf>
    <xf numFmtId="0" fontId="33" fillId="0" borderId="0" xfId="0" applyFont="1" applyBorder="1" applyAlignment="1">
      <alignment horizontal="center"/>
    </xf>
    <xf numFmtId="0" fontId="33" fillId="0" borderId="2" xfId="0" applyFont="1" applyBorder="1" applyAlignment="1">
      <alignment horizontal="center"/>
    </xf>
    <xf numFmtId="0" fontId="30" fillId="0" borderId="2" xfId="0" applyFont="1" applyBorder="1" applyAlignment="1">
      <alignment horizontal="left" wrapText="1"/>
    </xf>
    <xf numFmtId="0" fontId="33" fillId="11" borderId="10" xfId="0" applyFont="1" applyFill="1" applyBorder="1" applyAlignment="1">
      <alignment horizontal="left" wrapText="1"/>
    </xf>
    <xf numFmtId="0" fontId="33" fillId="11" borderId="4" xfId="0" applyFont="1" applyFill="1" applyBorder="1" applyAlignment="1">
      <alignment horizontal="left" wrapText="1"/>
    </xf>
    <xf numFmtId="0" fontId="38" fillId="10" borderId="2" xfId="0" applyFont="1" applyFill="1" applyBorder="1" applyAlignment="1">
      <alignment horizontal="center" wrapText="1"/>
    </xf>
    <xf numFmtId="0" fontId="33" fillId="11" borderId="2" xfId="0" applyFont="1" applyFill="1" applyBorder="1" applyAlignment="1">
      <alignment horizontal="center" wrapText="1"/>
    </xf>
    <xf numFmtId="0" fontId="33" fillId="11" borderId="2" xfId="0" applyFont="1" applyFill="1" applyBorder="1" applyAlignment="1">
      <alignment horizontal="left" wrapText="1"/>
    </xf>
    <xf numFmtId="0" fontId="30" fillId="0" borderId="2" xfId="0" applyFont="1" applyFill="1" applyBorder="1" applyAlignment="1">
      <alignment horizontal="left" wrapText="1"/>
    </xf>
    <xf numFmtId="0" fontId="38" fillId="11" borderId="2" xfId="0" applyFont="1" applyFill="1" applyBorder="1" applyAlignment="1">
      <alignment horizontal="center"/>
    </xf>
    <xf numFmtId="49" fontId="37" fillId="0" borderId="0" xfId="0" applyNumberFormat="1" applyFont="1" applyBorder="1" applyAlignment="1">
      <alignment horizontal="center"/>
    </xf>
    <xf numFmtId="0" fontId="38" fillId="11" borderId="10" xfId="0" applyFont="1" applyFill="1" applyBorder="1" applyAlignment="1">
      <alignment horizontal="center" wrapText="1"/>
    </xf>
    <xf numFmtId="0" fontId="38" fillId="11" borderId="4" xfId="0" applyFont="1" applyFill="1" applyBorder="1" applyAlignment="1">
      <alignment horizontal="center" wrapText="1"/>
    </xf>
    <xf numFmtId="0" fontId="38" fillId="11" borderId="11" xfId="0" applyFont="1" applyFill="1" applyBorder="1" applyAlignment="1">
      <alignment horizontal="center" wrapText="1"/>
    </xf>
    <xf numFmtId="0" fontId="36" fillId="0" borderId="2" xfId="0" applyFont="1" applyBorder="1" applyAlignment="1">
      <alignment horizontal="left"/>
    </xf>
    <xf numFmtId="0" fontId="33" fillId="13" borderId="2" xfId="0" applyFont="1" applyFill="1" applyBorder="1" applyAlignment="1">
      <alignment horizontal="center" wrapText="1"/>
    </xf>
    <xf numFmtId="0" fontId="33" fillId="0" borderId="4" xfId="0" applyFont="1" applyBorder="1" applyAlignment="1">
      <alignment horizontal="center" wrapText="1"/>
    </xf>
    <xf numFmtId="0" fontId="39" fillId="0" borderId="2" xfId="0" applyFont="1" applyBorder="1" applyAlignment="1">
      <alignment horizontal="left"/>
    </xf>
    <xf numFmtId="0" fontId="30" fillId="0" borderId="15" xfId="0" applyFont="1" applyBorder="1" applyAlignment="1">
      <alignment horizontal="center" wrapText="1"/>
    </xf>
    <xf numFmtId="0" fontId="30" fillId="0" borderId="0" xfId="0" applyFont="1" applyBorder="1" applyAlignment="1">
      <alignment horizontal="center" wrapText="1"/>
    </xf>
    <xf numFmtId="0" fontId="33" fillId="11" borderId="4" xfId="0" applyFont="1" applyFill="1" applyBorder="1" applyAlignment="1">
      <alignment horizontal="center"/>
    </xf>
    <xf numFmtId="0" fontId="36" fillId="0" borderId="15" xfId="0" applyFont="1" applyBorder="1" applyAlignment="1">
      <alignment horizontal="center" wrapText="1"/>
    </xf>
    <xf numFmtId="0" fontId="36" fillId="0" borderId="0" xfId="0" applyFont="1" applyBorder="1" applyAlignment="1">
      <alignment horizontal="center" wrapText="1"/>
    </xf>
    <xf numFmtId="0" fontId="33" fillId="7" borderId="2" xfId="0" applyFont="1" applyFill="1" applyBorder="1" applyAlignment="1">
      <alignment horizontal="left"/>
    </xf>
    <xf numFmtId="0" fontId="39" fillId="10" borderId="4" xfId="0" applyFont="1" applyFill="1" applyBorder="1" applyAlignment="1">
      <alignment horizontal="left" wrapText="1"/>
    </xf>
    <xf numFmtId="0" fontId="33" fillId="7" borderId="2" xfId="0" applyFont="1" applyFill="1" applyBorder="1" applyAlignment="1">
      <alignment horizontal="center" wrapText="1"/>
    </xf>
    <xf numFmtId="0" fontId="39" fillId="0" borderId="10" xfId="0" applyFont="1" applyBorder="1" applyAlignment="1">
      <alignment horizontal="left" wrapText="1"/>
    </xf>
    <xf numFmtId="0" fontId="39" fillId="0" borderId="4" xfId="0" applyFont="1" applyBorder="1" applyAlignment="1">
      <alignment horizontal="left" wrapText="1"/>
    </xf>
    <xf numFmtId="0" fontId="39" fillId="0" borderId="11" xfId="0" applyFont="1" applyBorder="1" applyAlignment="1">
      <alignment horizontal="left" wrapText="1"/>
    </xf>
    <xf numFmtId="0" fontId="28" fillId="0" borderId="0" xfId="0" applyFont="1" applyBorder="1" applyAlignment="1">
      <alignment horizontal="left" wrapText="1"/>
    </xf>
    <xf numFmtId="16" fontId="3" fillId="0" borderId="17" xfId="108" quotePrefix="1" applyNumberFormat="1" applyBorder="1" applyAlignment="1">
      <alignment horizontal="center"/>
    </xf>
    <xf numFmtId="16" fontId="3" fillId="0" borderId="18" xfId="108" quotePrefix="1" applyNumberFormat="1" applyBorder="1" applyAlignment="1">
      <alignment horizontal="center"/>
    </xf>
    <xf numFmtId="0" fontId="3" fillId="0" borderId="17" xfId="108" quotePrefix="1" applyBorder="1" applyAlignment="1">
      <alignment horizontal="center"/>
    </xf>
    <xf numFmtId="0" fontId="3" fillId="0" borderId="18" xfId="108" quotePrefix="1" applyBorder="1" applyAlignment="1">
      <alignment horizontal="center"/>
    </xf>
    <xf numFmtId="0" fontId="10" fillId="0" borderId="2" xfId="0" applyFont="1" applyBorder="1" applyAlignment="1">
      <alignment horizontal="center"/>
    </xf>
    <xf numFmtId="41" fontId="0" fillId="0" borderId="2" xfId="0" applyNumberFormat="1" applyBorder="1" applyAlignment="1">
      <alignment horizontal="center"/>
    </xf>
    <xf numFmtId="0" fontId="10" fillId="0" borderId="10" xfId="0" applyFont="1" applyBorder="1" applyAlignment="1">
      <alignment horizontal="right"/>
    </xf>
    <xf numFmtId="0" fontId="0" fillId="0" borderId="4" xfId="0" applyBorder="1" applyAlignment="1">
      <alignment horizontal="right"/>
    </xf>
    <xf numFmtId="0" fontId="0" fillId="0" borderId="11" xfId="0" applyBorder="1" applyAlignment="1">
      <alignment horizontal="right"/>
    </xf>
    <xf numFmtId="0" fontId="0" fillId="0" borderId="2" xfId="0" applyBorder="1" applyAlignment="1">
      <alignment horizontal="center"/>
    </xf>
    <xf numFmtId="0" fontId="12" fillId="0" borderId="0" xfId="0" applyFont="1" applyAlignment="1">
      <alignment horizontal="center"/>
    </xf>
    <xf numFmtId="0" fontId="12" fillId="0" borderId="21" xfId="0" applyFont="1" applyBorder="1" applyAlignment="1">
      <alignment horizontal="center"/>
    </xf>
    <xf numFmtId="0" fontId="14" fillId="0" borderId="22" xfId="0" applyFont="1" applyBorder="1" applyAlignment="1">
      <alignment horizontal="center"/>
    </xf>
    <xf numFmtId="0" fontId="57" fillId="0" borderId="22" xfId="0" applyFont="1" applyBorder="1" applyAlignment="1">
      <alignment horizontal="center"/>
    </xf>
    <xf numFmtId="0" fontId="58" fillId="0" borderId="22" xfId="0" applyFont="1" applyBorder="1" applyAlignment="1">
      <alignment horizontal="center"/>
    </xf>
    <xf numFmtId="0" fontId="15" fillId="0" borderId="3" xfId="0" applyFont="1" applyBorder="1" applyAlignment="1">
      <alignment horizontal="center"/>
    </xf>
    <xf numFmtId="0" fontId="13" fillId="2" borderId="6" xfId="0" applyFont="1" applyFill="1" applyBorder="1" applyAlignment="1">
      <alignment horizontal="left"/>
    </xf>
    <xf numFmtId="0" fontId="13" fillId="2" borderId="7" xfId="0" applyFont="1" applyFill="1" applyBorder="1" applyAlignment="1">
      <alignment horizontal="left"/>
    </xf>
    <xf numFmtId="0" fontId="13" fillId="0" borderId="6" xfId="0" applyFont="1" applyBorder="1" applyAlignment="1">
      <alignment horizontal="left"/>
    </xf>
    <xf numFmtId="170" fontId="13" fillId="0" borderId="0" xfId="0" applyNumberFormat="1" applyFont="1" applyAlignment="1">
      <alignment horizontal="center"/>
    </xf>
    <xf numFmtId="0" fontId="15" fillId="0" borderId="0" xfId="0" applyFont="1" applyBorder="1" applyAlignment="1">
      <alignment horizontal="center"/>
    </xf>
    <xf numFmtId="0" fontId="13" fillId="4" borderId="23"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18"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6" xfId="0" applyFont="1" applyFill="1" applyBorder="1" applyAlignment="1">
      <alignment horizontal="left" wrapText="1"/>
    </xf>
    <xf numFmtId="0" fontId="13" fillId="4" borderId="27" xfId="0" applyFont="1" applyFill="1" applyBorder="1" applyAlignment="1">
      <alignment horizontal="left" wrapText="1"/>
    </xf>
    <xf numFmtId="0" fontId="13" fillId="4" borderId="28" xfId="0" applyFont="1" applyFill="1" applyBorder="1" applyAlignment="1">
      <alignment horizontal="left" wrapText="1"/>
    </xf>
    <xf numFmtId="0" fontId="9" fillId="0" borderId="21" xfId="0" applyFont="1" applyBorder="1" applyAlignment="1">
      <alignment horizontal="center"/>
    </xf>
    <xf numFmtId="0" fontId="0" fillId="0" borderId="0" xfId="0" applyAlignment="1">
      <alignment horizontal="center"/>
    </xf>
    <xf numFmtId="0" fontId="99" fillId="0" borderId="0" xfId="110" applyNumberFormat="1" applyFont="1" applyAlignment="1">
      <alignment horizontal="right" vertical="top"/>
    </xf>
    <xf numFmtId="0" fontId="32" fillId="0" borderId="0" xfId="110" applyNumberFormat="1" applyFont="1" applyAlignment="1">
      <alignment horizontal="center" vertical="top" wrapText="1"/>
    </xf>
  </cellXfs>
  <cellStyles count="115">
    <cellStyle name="20% - Accent1" xfId="31" builtinId="30" customBuiltin="1"/>
    <cellStyle name="20% - Accent1 2" xfId="57"/>
    <cellStyle name="20% - Accent2" xfId="35" builtinId="34" customBuiltin="1"/>
    <cellStyle name="20% - Accent2 2" xfId="58"/>
    <cellStyle name="20% - Accent3" xfId="39" builtinId="38" customBuiltin="1"/>
    <cellStyle name="20% - Accent3 2" xfId="59"/>
    <cellStyle name="20% - Accent4" xfId="43" builtinId="42" customBuiltin="1"/>
    <cellStyle name="20% - Accent4 2" xfId="60"/>
    <cellStyle name="20% - Accent5" xfId="47" builtinId="46" customBuiltin="1"/>
    <cellStyle name="20% - Accent5 2" xfId="61"/>
    <cellStyle name="20% - Accent6" xfId="51" builtinId="50" customBuiltin="1"/>
    <cellStyle name="20% - Accent6 2" xfId="62"/>
    <cellStyle name="40% - Accent1" xfId="32" builtinId="31" customBuiltin="1"/>
    <cellStyle name="40% - Accent1 2" xfId="63"/>
    <cellStyle name="40% - Accent2" xfId="36" builtinId="35" customBuiltin="1"/>
    <cellStyle name="40% - Accent2 2" xfId="64"/>
    <cellStyle name="40% - Accent3" xfId="40" builtinId="39" customBuiltin="1"/>
    <cellStyle name="40% - Accent3 2" xfId="65"/>
    <cellStyle name="40% - Accent4" xfId="44" builtinId="43" customBuiltin="1"/>
    <cellStyle name="40% - Accent4 2" xfId="66"/>
    <cellStyle name="40% - Accent5" xfId="48" builtinId="47" customBuiltin="1"/>
    <cellStyle name="40% - Accent5 2" xfId="67"/>
    <cellStyle name="40% - Accent6" xfId="52" builtinId="51" customBuiltin="1"/>
    <cellStyle name="40% - Accent6 2" xfId="68"/>
    <cellStyle name="60% - Accent1" xfId="33" builtinId="32" customBuiltin="1"/>
    <cellStyle name="60% - Accent1 2" xfId="69"/>
    <cellStyle name="60% - Accent2" xfId="37" builtinId="36" customBuiltin="1"/>
    <cellStyle name="60% - Accent2 2" xfId="70"/>
    <cellStyle name="60% - Accent3" xfId="41" builtinId="40" customBuiltin="1"/>
    <cellStyle name="60% - Accent3 2" xfId="71"/>
    <cellStyle name="60% - Accent4" xfId="45" builtinId="44" customBuiltin="1"/>
    <cellStyle name="60% - Accent4 2" xfId="72"/>
    <cellStyle name="60% - Accent5" xfId="49" builtinId="48" customBuiltin="1"/>
    <cellStyle name="60% - Accent5 2" xfId="73"/>
    <cellStyle name="60% - Accent6" xfId="53" builtinId="52" customBuiltin="1"/>
    <cellStyle name="60% - Accent6 2" xfId="74"/>
    <cellStyle name="Accent1" xfId="30" builtinId="29" customBuiltin="1"/>
    <cellStyle name="Accent1 2" xfId="75"/>
    <cellStyle name="Accent2" xfId="34" builtinId="33" customBuiltin="1"/>
    <cellStyle name="Accent2 2" xfId="76"/>
    <cellStyle name="Accent3" xfId="38" builtinId="37" customBuiltin="1"/>
    <cellStyle name="Accent3 2" xfId="77"/>
    <cellStyle name="Accent4" xfId="42" builtinId="41" customBuiltin="1"/>
    <cellStyle name="Accent4 2" xfId="78"/>
    <cellStyle name="Accent5" xfId="46" builtinId="45" customBuiltin="1"/>
    <cellStyle name="Accent5 2" xfId="79"/>
    <cellStyle name="Accent6" xfId="50" builtinId="49" customBuiltin="1"/>
    <cellStyle name="Accent6 2" xfId="80"/>
    <cellStyle name="Bad" xfId="21" builtinId="27" customBuiltin="1"/>
    <cellStyle name="Bad 2" xfId="81"/>
    <cellStyle name="Calculation" xfId="25" builtinId="22" customBuiltin="1"/>
    <cellStyle name="Calculation 2" xfId="82"/>
    <cellStyle name="Check Cell" xfId="27" builtinId="23" customBuiltin="1"/>
    <cellStyle name="Check Cell 2" xfId="83"/>
    <cellStyle name="Comma" xfId="1" builtinId="3"/>
    <cellStyle name="Comma 2" xfId="2"/>
    <cellStyle name="Comma 2 2" xfId="56"/>
    <cellStyle name="Comma 2 3" xfId="107"/>
    <cellStyle name="Comma 3" xfId="3"/>
    <cellStyle name="Comma 4" xfId="109"/>
    <cellStyle name="Comma 5" xfId="113"/>
    <cellStyle name="Comma0" xfId="4"/>
    <cellStyle name="Currency" xfId="5" builtinId="4"/>
    <cellStyle name="Currency 2" xfId="6"/>
    <cellStyle name="Currency 3" xfId="112"/>
    <cellStyle name="Currency0" xfId="7"/>
    <cellStyle name="Date" xfId="8"/>
    <cellStyle name="Explanatory Text" xfId="29" builtinId="53" customBuiltin="1"/>
    <cellStyle name="Explanatory Text 2" xfId="84"/>
    <cellStyle name="Fixed" xfId="9"/>
    <cellStyle name="Good" xfId="20" builtinId="26" customBuiltin="1"/>
    <cellStyle name="Good 2" xfId="85"/>
    <cellStyle name="Heading 1" xfId="10" builtinId="16" customBuiltin="1"/>
    <cellStyle name="Heading 1 2" xfId="86"/>
    <cellStyle name="Heading 1 3" xfId="103"/>
    <cellStyle name="Heading 2" xfId="11" builtinId="17" customBuiltin="1"/>
    <cellStyle name="Heading 2 2" xfId="87"/>
    <cellStyle name="Heading 2 3" xfId="101"/>
    <cellStyle name="Heading 3" xfId="18" builtinId="18" customBuiltin="1"/>
    <cellStyle name="Heading 3 2" xfId="88"/>
    <cellStyle name="Heading 4" xfId="19" builtinId="19" customBuiltin="1"/>
    <cellStyle name="Heading 4 2" xfId="89"/>
    <cellStyle name="HEADING1" xfId="12"/>
    <cellStyle name="HEADING2" xfId="13"/>
    <cellStyle name="Input" xfId="23" builtinId="20" customBuiltin="1"/>
    <cellStyle name="Input 2" xfId="90"/>
    <cellStyle name="Linked Cell" xfId="26" builtinId="24" customBuiltin="1"/>
    <cellStyle name="Linked Cell 2" xfId="91"/>
    <cellStyle name="Moeda [0]_24-28" xfId="92"/>
    <cellStyle name="Moeda_24-28" xfId="93"/>
    <cellStyle name="Neutral" xfId="22" builtinId="28" customBuiltin="1"/>
    <cellStyle name="Neutral 2" xfId="94"/>
    <cellStyle name="Normal" xfId="0" builtinId="0"/>
    <cellStyle name="Normal 2" xfId="14"/>
    <cellStyle name="Normal 2 2" xfId="95"/>
    <cellStyle name="Normal 2 3" xfId="106"/>
    <cellStyle name="Normal 3" xfId="55"/>
    <cellStyle name="Normal 4" xfId="54"/>
    <cellStyle name="Normal 5" xfId="104"/>
    <cellStyle name="Normal 6" xfId="108"/>
    <cellStyle name="Normal 7" xfId="110"/>
    <cellStyle name="Normal 8" xfId="111"/>
    <cellStyle name="Normal 9" xfId="114"/>
    <cellStyle name="Note 2" xfId="96"/>
    <cellStyle name="Note 2 2" xfId="105"/>
    <cellStyle name="Output" xfId="24" builtinId="21" customBuiltin="1"/>
    <cellStyle name="Output 2" xfId="97"/>
    <cellStyle name="Percent" xfId="15" builtinId="5"/>
    <cellStyle name="Title" xfId="17" builtinId="15" customBuiltin="1"/>
    <cellStyle name="Title 2" xfId="98"/>
    <cellStyle name="Total" xfId="16" builtinId="25" customBuiltin="1"/>
    <cellStyle name="Total 2" xfId="99"/>
    <cellStyle name="Total 3" xfId="102"/>
    <cellStyle name="Warning Text" xfId="28" builtinId="11" customBuiltin="1"/>
    <cellStyle name="Warning Text 2" xfId="100"/>
  </cellStyles>
  <dxfs count="8">
    <dxf>
      <font>
        <color theme="0"/>
      </font>
    </dxf>
    <dxf>
      <font>
        <color theme="0"/>
      </font>
    </dxf>
    <dxf>
      <font>
        <color theme="0"/>
      </font>
    </dxf>
    <dxf>
      <font>
        <color theme="0"/>
      </font>
    </dxf>
    <dxf>
      <fill>
        <patternFill>
          <bgColor indexed="45"/>
        </patternFill>
      </fill>
    </dxf>
    <dxf>
      <fill>
        <patternFill>
          <bgColor indexed="42"/>
        </patternFill>
      </fill>
    </dxf>
    <dxf>
      <fill>
        <patternFill>
          <bgColor indexed="45"/>
        </patternFill>
      </fill>
    </dxf>
    <dxf>
      <fill>
        <patternFill>
          <bgColor indexed="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14</xdr:col>
          <xdr:colOff>590550</xdr:colOff>
          <xdr:row>18</xdr:row>
          <xdr:rowOff>66675</xdr:rowOff>
        </xdr:to>
        <xdr:sp macro="" textlink="">
          <xdr:nvSpPr>
            <xdr:cNvPr id="8195" name="Control 3" hidden="1">
              <a:extLst>
                <a:ext uri="{63B3BB69-23CF-44E3-9099-C40C66FF867C}">
                  <a14:compatExt spid="_x0000_s819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14</xdr:col>
          <xdr:colOff>914400</xdr:colOff>
          <xdr:row>18</xdr:row>
          <xdr:rowOff>66675</xdr:rowOff>
        </xdr:to>
        <xdr:sp macro="" textlink="">
          <xdr:nvSpPr>
            <xdr:cNvPr id="8196" name="Control 4" hidden="1">
              <a:extLst>
                <a:ext uri="{63B3BB69-23CF-44E3-9099-C40C66FF867C}">
                  <a14:compatExt spid="_x0000_s8196"/>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14</xdr:col>
          <xdr:colOff>914400</xdr:colOff>
          <xdr:row>18</xdr:row>
          <xdr:rowOff>66675</xdr:rowOff>
        </xdr:to>
        <xdr:sp macro="" textlink="">
          <xdr:nvSpPr>
            <xdr:cNvPr id="8197" name="Control 5" hidden="1">
              <a:extLst>
                <a:ext uri="{63B3BB69-23CF-44E3-9099-C40C66FF867C}">
                  <a14:compatExt spid="_x0000_s819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1143000</xdr:colOff>
      <xdr:row>1</xdr:row>
      <xdr:rowOff>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1143000" cy="19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5.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B13" sqref="B13"/>
    </sheetView>
  </sheetViews>
  <sheetFormatPr defaultColWidth="9.140625" defaultRowHeight="18.75" x14ac:dyDescent="0.3"/>
  <cols>
    <col min="1" max="1" width="50" style="362" bestFit="1" customWidth="1"/>
    <col min="2" max="2" width="15.7109375" style="362" customWidth="1"/>
    <col min="3" max="3" width="9.140625" style="352"/>
    <col min="4" max="4" width="33.28515625" style="352" customWidth="1"/>
    <col min="5" max="5" width="17.7109375" style="352" customWidth="1"/>
    <col min="6" max="16384" width="9.140625" style="352"/>
  </cols>
  <sheetData>
    <row r="1" spans="1:5" ht="43.5" customHeight="1" thickBot="1" x14ac:dyDescent="0.35">
      <c r="A1" s="353" t="s">
        <v>1076</v>
      </c>
      <c r="B1" s="353" t="s">
        <v>1077</v>
      </c>
      <c r="D1" s="353" t="s">
        <v>1086</v>
      </c>
      <c r="E1" s="353" t="s">
        <v>1092</v>
      </c>
    </row>
    <row r="2" spans="1:5" x14ac:dyDescent="0.3">
      <c r="A2" s="354" t="s">
        <v>1078</v>
      </c>
      <c r="B2" s="355">
        <v>0.18060000000000001</v>
      </c>
      <c r="D2" s="355" t="s">
        <v>1087</v>
      </c>
      <c r="E2" s="366">
        <v>1382.4</v>
      </c>
    </row>
    <row r="3" spans="1:5" x14ac:dyDescent="0.3">
      <c r="A3" s="356" t="s">
        <v>33</v>
      </c>
      <c r="B3" s="357">
        <v>0.1628</v>
      </c>
      <c r="D3" s="357" t="s">
        <v>1088</v>
      </c>
      <c r="E3" s="367">
        <v>105</v>
      </c>
    </row>
    <row r="4" spans="1:5" x14ac:dyDescent="0.3">
      <c r="A4" s="358" t="s">
        <v>1079</v>
      </c>
      <c r="B4" s="359">
        <v>6.2E-2</v>
      </c>
      <c r="D4" s="359" t="s">
        <v>1089</v>
      </c>
      <c r="E4" s="368">
        <v>28422.6</v>
      </c>
    </row>
    <row r="5" spans="1:5" x14ac:dyDescent="0.3">
      <c r="A5" s="356" t="s">
        <v>1080</v>
      </c>
      <c r="B5" s="357">
        <v>1.4500000000000001E-2</v>
      </c>
      <c r="D5" s="357" t="s">
        <v>1090</v>
      </c>
      <c r="E5" s="367">
        <v>35182.6</v>
      </c>
    </row>
    <row r="6" spans="1:5" x14ac:dyDescent="0.3">
      <c r="A6" s="358" t="s">
        <v>34</v>
      </c>
      <c r="B6" s="359">
        <v>5.0000000000000001E-4</v>
      </c>
      <c r="D6" s="359" t="s">
        <v>1091</v>
      </c>
      <c r="E6" s="368">
        <v>23370.799999999999</v>
      </c>
    </row>
    <row r="7" spans="1:5" x14ac:dyDescent="0.3">
      <c r="A7" s="356" t="s">
        <v>165</v>
      </c>
      <c r="B7" s="357">
        <v>1.6E-2</v>
      </c>
      <c r="D7" s="357"/>
      <c r="E7" s="365"/>
    </row>
    <row r="8" spans="1:5" x14ac:dyDescent="0.3">
      <c r="A8" s="358" t="s">
        <v>434</v>
      </c>
      <c r="B8" s="359">
        <v>1.6E-2</v>
      </c>
      <c r="D8" s="359"/>
      <c r="E8" s="368"/>
    </row>
    <row r="9" spans="1:5" ht="19.5" thickBot="1" x14ac:dyDescent="0.35">
      <c r="A9" s="360" t="s">
        <v>1081</v>
      </c>
      <c r="B9" s="361">
        <v>2E-3</v>
      </c>
      <c r="D9" s="361"/>
      <c r="E9" s="361"/>
    </row>
    <row r="11" spans="1:5" x14ac:dyDescent="0.3">
      <c r="A11" s="363" t="s">
        <v>1082</v>
      </c>
      <c r="B11" s="363">
        <f>B2+B4+B5+B6+B7+B8+B9</f>
        <v>0.29160000000000003</v>
      </c>
      <c r="D11" s="359" t="s">
        <v>46</v>
      </c>
      <c r="E11" s="368">
        <f>E2+E3+E5</f>
        <v>36670</v>
      </c>
    </row>
    <row r="12" spans="1:5" x14ac:dyDescent="0.3">
      <c r="A12" s="363" t="s">
        <v>1083</v>
      </c>
      <c r="B12" s="363">
        <f>B3+B5+B6+B7+B8+B9</f>
        <v>0.21180000000000004</v>
      </c>
    </row>
    <row r="13" spans="1:5" x14ac:dyDescent="0.3">
      <c r="A13" s="363" t="s">
        <v>1084</v>
      </c>
      <c r="B13" s="363">
        <f>SUM(B5:B9)</f>
        <v>4.9000000000000002E-2</v>
      </c>
    </row>
    <row r="14" spans="1:5" x14ac:dyDescent="0.3">
      <c r="A14" s="363" t="s">
        <v>1085</v>
      </c>
      <c r="B14" s="363">
        <f>SUM(B7:B9)</f>
        <v>3.4000000000000002E-2</v>
      </c>
    </row>
    <row r="15" spans="1:5" x14ac:dyDescent="0.3">
      <c r="B15" s="363"/>
    </row>
    <row r="16" spans="1:5" ht="15.75" x14ac:dyDescent="0.25">
      <c r="A16" s="352"/>
      <c r="B16" s="352"/>
    </row>
    <row r="17" spans="1:2" ht="15.75" x14ac:dyDescent="0.25">
      <c r="A17" s="352"/>
      <c r="B17" s="352"/>
    </row>
    <row r="18" spans="1:2" ht="15.75" x14ac:dyDescent="0.25">
      <c r="A18" s="352"/>
      <c r="B18" s="352"/>
    </row>
    <row r="19" spans="1:2" ht="15.75" x14ac:dyDescent="0.25">
      <c r="A19" s="352"/>
      <c r="B19" s="352"/>
    </row>
    <row r="20" spans="1:2" x14ac:dyDescent="0.3">
      <c r="A20" s="352"/>
    </row>
    <row r="21" spans="1:2" x14ac:dyDescent="0.3">
      <c r="A21" s="364"/>
    </row>
  </sheetData>
  <printOptions horizontalCentered="1"/>
  <pageMargins left="0.7" right="0.7" top="1.5" bottom="0.75" header="0.55000000000000004" footer="0.3"/>
  <pageSetup orientation="portrait" horizontalDpi="300" verticalDpi="300" r:id="rId1"/>
  <headerFooter>
    <oddHeader>&amp;C&amp;"-,Bold"&amp;24&amp;K05-022Norco College&amp;"-,Regular"&amp;18&amp;K01+000
Fixed Cost Calculator</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8"/>
  <sheetViews>
    <sheetView workbookViewId="0"/>
  </sheetViews>
  <sheetFormatPr defaultRowHeight="12.75" x14ac:dyDescent="0.2"/>
  <cols>
    <col min="1" max="1" width="17" style="348" customWidth="1"/>
    <col min="2" max="2" width="37" style="348" customWidth="1"/>
    <col min="3" max="3" width="32" style="348" customWidth="1"/>
    <col min="4" max="4" width="22.85546875" style="348" customWidth="1"/>
    <col min="5" max="16384" width="9.140625" style="348"/>
  </cols>
  <sheetData>
    <row r="1" spans="1:5" ht="21" customHeight="1" x14ac:dyDescent="0.2">
      <c r="A1" s="348" t="s">
        <v>1109</v>
      </c>
    </row>
    <row r="2" spans="1:5" ht="12.95" customHeight="1" x14ac:dyDescent="0.2">
      <c r="A2" s="375" t="s">
        <v>1110</v>
      </c>
      <c r="B2" s="376" t="s">
        <v>1111</v>
      </c>
      <c r="C2" s="375" t="s">
        <v>1112</v>
      </c>
      <c r="D2" s="375" t="s">
        <v>1113</v>
      </c>
      <c r="E2" s="375" t="s">
        <v>624</v>
      </c>
    </row>
    <row r="3" spans="1:5" ht="12.95" customHeight="1" x14ac:dyDescent="0.2">
      <c r="A3" s="375"/>
      <c r="B3" s="376"/>
      <c r="C3" s="375"/>
      <c r="D3" s="375"/>
      <c r="E3" s="375"/>
    </row>
    <row r="4" spans="1:5" ht="171" customHeight="1" x14ac:dyDescent="0.2">
      <c r="A4" s="377" t="s">
        <v>1114</v>
      </c>
      <c r="B4" s="378" t="s">
        <v>1115</v>
      </c>
      <c r="C4" s="377" t="s">
        <v>1116</v>
      </c>
      <c r="D4" s="378" t="s">
        <v>1117</v>
      </c>
      <c r="E4" s="379">
        <v>11</v>
      </c>
    </row>
    <row r="5" spans="1:5" ht="152.1" customHeight="1" x14ac:dyDescent="0.2">
      <c r="A5" s="377" t="s">
        <v>1118</v>
      </c>
      <c r="B5" s="377" t="s">
        <v>1119</v>
      </c>
      <c r="C5" s="378" t="s">
        <v>1120</v>
      </c>
      <c r="D5" s="378" t="s">
        <v>1121</v>
      </c>
      <c r="E5" s="379">
        <v>12</v>
      </c>
    </row>
    <row r="6" spans="1:5" ht="117" customHeight="1" x14ac:dyDescent="0.2">
      <c r="A6" s="377" t="s">
        <v>1122</v>
      </c>
      <c r="B6" s="378" t="s">
        <v>1123</v>
      </c>
      <c r="C6" s="377" t="s">
        <v>1124</v>
      </c>
      <c r="D6" s="378" t="s">
        <v>1125</v>
      </c>
      <c r="E6" s="379">
        <v>13</v>
      </c>
    </row>
    <row r="7" spans="1:5" ht="93" customHeight="1" x14ac:dyDescent="0.2">
      <c r="A7" s="377" t="s">
        <v>1126</v>
      </c>
      <c r="B7" s="377" t="s">
        <v>1127</v>
      </c>
      <c r="C7" s="377" t="s">
        <v>1128</v>
      </c>
      <c r="D7" s="378" t="s">
        <v>1129</v>
      </c>
      <c r="E7" s="379">
        <v>14</v>
      </c>
    </row>
    <row r="8" spans="1:5" ht="128.1" customHeight="1" x14ac:dyDescent="0.2">
      <c r="A8" s="377" t="s">
        <v>1130</v>
      </c>
      <c r="B8" s="377" t="s">
        <v>1131</v>
      </c>
      <c r="C8" s="377" t="s">
        <v>1132</v>
      </c>
      <c r="D8" s="378" t="s">
        <v>1133</v>
      </c>
      <c r="E8" s="379">
        <v>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29"/>
  <sheetViews>
    <sheetView workbookViewId="0">
      <selection activeCell="A34" sqref="A34"/>
    </sheetView>
  </sheetViews>
  <sheetFormatPr defaultColWidth="9.140625" defaultRowHeight="15" x14ac:dyDescent="0.25"/>
  <cols>
    <col min="1" max="1" width="11" style="258" customWidth="1"/>
    <col min="2" max="2" width="30" style="258" bestFit="1" customWidth="1"/>
    <col min="3" max="3" width="10.5703125" style="258" bestFit="1" customWidth="1"/>
    <col min="4" max="8" width="9.140625" style="258"/>
    <col min="9" max="9" width="11.28515625" style="258" customWidth="1"/>
    <col min="10" max="12" width="9.140625" style="258"/>
    <col min="13" max="13" width="12" style="258" customWidth="1"/>
    <col min="14" max="14" width="9.140625" style="258"/>
    <col min="15" max="15" width="11" style="258" customWidth="1"/>
    <col min="16" max="16384" width="9.140625" style="258"/>
  </cols>
  <sheetData>
    <row r="1" spans="1:15" x14ac:dyDescent="0.25">
      <c r="A1" s="270"/>
      <c r="B1" s="334" t="s">
        <v>690</v>
      </c>
      <c r="C1" s="423" t="s">
        <v>691</v>
      </c>
      <c r="D1" s="424"/>
      <c r="E1" s="425" t="s">
        <v>692</v>
      </c>
      <c r="F1" s="426"/>
      <c r="G1" s="425" t="s">
        <v>693</v>
      </c>
      <c r="H1" s="426"/>
      <c r="I1" s="425" t="s">
        <v>774</v>
      </c>
      <c r="J1" s="426"/>
      <c r="K1" s="425" t="s">
        <v>775</v>
      </c>
      <c r="L1" s="426"/>
      <c r="M1" s="270"/>
      <c r="N1" s="271"/>
      <c r="O1" s="272"/>
    </row>
    <row r="2" spans="1:15" ht="54.75" customHeight="1" x14ac:dyDescent="0.25">
      <c r="A2" s="260" t="s">
        <v>694</v>
      </c>
      <c r="B2" s="259" t="s">
        <v>695</v>
      </c>
      <c r="C2" s="260" t="s">
        <v>696</v>
      </c>
      <c r="D2" s="261" t="s">
        <v>697</v>
      </c>
      <c r="E2" s="260" t="s">
        <v>696</v>
      </c>
      <c r="F2" s="261" t="s">
        <v>697</v>
      </c>
      <c r="G2" s="260" t="s">
        <v>696</v>
      </c>
      <c r="H2" s="261" t="s">
        <v>697</v>
      </c>
      <c r="I2" s="260" t="s">
        <v>696</v>
      </c>
      <c r="J2" s="261" t="s">
        <v>697</v>
      </c>
      <c r="K2" s="260" t="s">
        <v>696</v>
      </c>
      <c r="L2" s="261" t="s">
        <v>697</v>
      </c>
      <c r="M2" s="260" t="s">
        <v>698</v>
      </c>
      <c r="N2" s="259" t="s">
        <v>699</v>
      </c>
      <c r="O2" s="261" t="s">
        <v>1056</v>
      </c>
    </row>
    <row r="3" spans="1:15" x14ac:dyDescent="0.25">
      <c r="A3" s="335" t="s">
        <v>700</v>
      </c>
      <c r="B3" s="336" t="s">
        <v>701</v>
      </c>
      <c r="C3" s="262"/>
      <c r="D3" s="263"/>
      <c r="E3" s="267">
        <v>36.71</v>
      </c>
      <c r="F3" s="263">
        <v>4</v>
      </c>
      <c r="G3" s="267"/>
      <c r="H3" s="263">
        <v>3</v>
      </c>
      <c r="I3" s="337">
        <v>0</v>
      </c>
      <c r="J3" s="327">
        <f>3+1</f>
        <v>4</v>
      </c>
      <c r="K3" s="282"/>
      <c r="L3" s="263">
        <v>3</v>
      </c>
      <c r="M3" s="338">
        <f>C3+E3+G3+I3+K3</f>
        <v>36.71</v>
      </c>
      <c r="N3" s="339">
        <f>D3+F3+H3+J3+L3</f>
        <v>14</v>
      </c>
      <c r="O3" s="329">
        <f>M3/N3</f>
        <v>2.6221428571428573</v>
      </c>
    </row>
    <row r="4" spans="1:15" x14ac:dyDescent="0.25">
      <c r="A4" s="335" t="s">
        <v>702</v>
      </c>
      <c r="B4" s="336" t="s">
        <v>703</v>
      </c>
      <c r="C4" s="264">
        <v>25574.91</v>
      </c>
      <c r="D4" s="263">
        <v>23</v>
      </c>
      <c r="E4" s="264">
        <f>21840.89+5659.29</f>
        <v>27500.18</v>
      </c>
      <c r="F4" s="263">
        <v>28</v>
      </c>
      <c r="G4" s="264">
        <v>26557.11</v>
      </c>
      <c r="H4" s="263">
        <v>35</v>
      </c>
      <c r="I4" s="337">
        <v>66436.849999999991</v>
      </c>
      <c r="J4" s="327">
        <v>38</v>
      </c>
      <c r="K4" s="282">
        <v>36971.74</v>
      </c>
      <c r="L4" s="263">
        <v>46</v>
      </c>
      <c r="M4" s="338">
        <f t="shared" ref="M4:N29" si="0">C4+E4+G4+I4+K4</f>
        <v>183040.78999999998</v>
      </c>
      <c r="N4" s="339">
        <f t="shared" si="0"/>
        <v>170</v>
      </c>
      <c r="O4" s="329">
        <f t="shared" ref="O4:O28" si="1">M4/N4</f>
        <v>1076.7105294117646</v>
      </c>
    </row>
    <row r="5" spans="1:15" x14ac:dyDescent="0.25">
      <c r="A5" s="335" t="s">
        <v>704</v>
      </c>
      <c r="B5" s="336" t="s">
        <v>705</v>
      </c>
      <c r="C5" s="264">
        <v>6282.8099999999995</v>
      </c>
      <c r="D5" s="263">
        <v>17</v>
      </c>
      <c r="E5" s="264">
        <v>14851.56</v>
      </c>
      <c r="F5" s="263">
        <v>15</v>
      </c>
      <c r="G5" s="264">
        <v>16181.25</v>
      </c>
      <c r="H5" s="263">
        <v>16</v>
      </c>
      <c r="I5" s="337">
        <v>25064.15</v>
      </c>
      <c r="J5" s="327">
        <v>17</v>
      </c>
      <c r="K5" s="282">
        <v>13107.78</v>
      </c>
      <c r="L5" s="263">
        <v>19</v>
      </c>
      <c r="M5" s="338">
        <f t="shared" si="0"/>
        <v>75487.55</v>
      </c>
      <c r="N5" s="339">
        <f t="shared" si="0"/>
        <v>84</v>
      </c>
      <c r="O5" s="329">
        <f t="shared" si="1"/>
        <v>898.66130952380956</v>
      </c>
    </row>
    <row r="6" spans="1:15" x14ac:dyDescent="0.25">
      <c r="A6" s="335" t="s">
        <v>706</v>
      </c>
      <c r="B6" s="336" t="s">
        <v>707</v>
      </c>
      <c r="C6" s="264">
        <v>1272</v>
      </c>
      <c r="D6" s="263">
        <v>60</v>
      </c>
      <c r="E6" s="264">
        <f>1286.26+383.1+866.35+55.87+648.87+357.3</f>
        <v>3597.75</v>
      </c>
      <c r="F6" s="263">
        <f>15+27+18+6+14+2</f>
        <v>82</v>
      </c>
      <c r="G6" s="264">
        <v>3625.08</v>
      </c>
      <c r="H6" s="263">
        <v>96</v>
      </c>
      <c r="I6" s="337">
        <v>1500.03</v>
      </c>
      <c r="J6" s="327">
        <v>99</v>
      </c>
      <c r="K6" s="282">
        <v>5084.88</v>
      </c>
      <c r="L6" s="263">
        <v>103</v>
      </c>
      <c r="M6" s="338">
        <f t="shared" si="0"/>
        <v>15079.740000000002</v>
      </c>
      <c r="N6" s="339">
        <f t="shared" si="0"/>
        <v>440</v>
      </c>
      <c r="O6" s="329">
        <f t="shared" si="1"/>
        <v>34.272136363636371</v>
      </c>
    </row>
    <row r="7" spans="1:15" x14ac:dyDescent="0.25">
      <c r="A7" s="335" t="s">
        <v>708</v>
      </c>
      <c r="B7" s="336" t="s">
        <v>709</v>
      </c>
      <c r="C7" s="264"/>
      <c r="D7" s="263"/>
      <c r="E7" s="264">
        <v>214.36</v>
      </c>
      <c r="F7" s="263">
        <v>17</v>
      </c>
      <c r="G7" s="264"/>
      <c r="H7" s="263">
        <v>33</v>
      </c>
      <c r="I7" s="337">
        <v>0</v>
      </c>
      <c r="J7" s="327">
        <v>36</v>
      </c>
      <c r="K7" s="282">
        <v>1</v>
      </c>
      <c r="L7" s="263">
        <v>41</v>
      </c>
      <c r="M7" s="338">
        <f t="shared" si="0"/>
        <v>215.36</v>
      </c>
      <c r="N7" s="339">
        <f t="shared" si="0"/>
        <v>127</v>
      </c>
      <c r="O7" s="329">
        <f t="shared" si="1"/>
        <v>1.6957480314960631</v>
      </c>
    </row>
    <row r="8" spans="1:15" x14ac:dyDescent="0.25">
      <c r="A8" s="335" t="s">
        <v>710</v>
      </c>
      <c r="B8" s="336" t="s">
        <v>711</v>
      </c>
      <c r="C8" s="264"/>
      <c r="D8" s="263"/>
      <c r="E8" s="264">
        <v>230.94</v>
      </c>
      <c r="F8" s="263">
        <v>5</v>
      </c>
      <c r="G8" s="264">
        <v>194.23</v>
      </c>
      <c r="H8" s="263">
        <v>6</v>
      </c>
      <c r="I8" s="337">
        <v>0</v>
      </c>
      <c r="J8" s="327">
        <v>1</v>
      </c>
      <c r="K8" s="282">
        <v>0</v>
      </c>
      <c r="L8" s="263">
        <v>0</v>
      </c>
      <c r="M8" s="338">
        <f t="shared" si="0"/>
        <v>425.16999999999996</v>
      </c>
      <c r="N8" s="339">
        <f t="shared" si="0"/>
        <v>12</v>
      </c>
      <c r="O8" s="329">
        <f t="shared" si="1"/>
        <v>35.430833333333332</v>
      </c>
    </row>
    <row r="9" spans="1:15" x14ac:dyDescent="0.25">
      <c r="A9" s="335" t="s">
        <v>712</v>
      </c>
      <c r="B9" s="336" t="s">
        <v>713</v>
      </c>
      <c r="C9" s="264">
        <v>29780.519999999997</v>
      </c>
      <c r="D9" s="263">
        <v>2</v>
      </c>
      <c r="E9" s="264">
        <v>1488.1</v>
      </c>
      <c r="F9" s="263">
        <v>42</v>
      </c>
      <c r="G9" s="264">
        <v>31936.31</v>
      </c>
      <c r="H9" s="263">
        <v>55</v>
      </c>
      <c r="I9" s="337">
        <v>12672.08</v>
      </c>
      <c r="J9" s="327">
        <v>51</v>
      </c>
      <c r="K9" s="282">
        <v>6523.4</v>
      </c>
      <c r="L9" s="263">
        <v>41</v>
      </c>
      <c r="M9" s="338">
        <f t="shared" si="0"/>
        <v>82400.409999999989</v>
      </c>
      <c r="N9" s="339">
        <f t="shared" si="0"/>
        <v>191</v>
      </c>
      <c r="O9" s="329">
        <f t="shared" si="1"/>
        <v>431.41575916230363</v>
      </c>
    </row>
    <row r="10" spans="1:15" x14ac:dyDescent="0.25">
      <c r="A10" s="335" t="s">
        <v>714</v>
      </c>
      <c r="B10" s="336" t="s">
        <v>715</v>
      </c>
      <c r="C10" s="264">
        <v>55145.400000000009</v>
      </c>
      <c r="D10" s="263">
        <v>21</v>
      </c>
      <c r="E10" s="264">
        <f>7201.32+1696.66+36.71</f>
        <v>8934.6899999999987</v>
      </c>
      <c r="F10" s="263">
        <f>22+2</f>
        <v>24</v>
      </c>
      <c r="G10" s="264">
        <v>13768.9</v>
      </c>
      <c r="H10" s="263">
        <v>55</v>
      </c>
      <c r="I10" s="337">
        <v>17240.88</v>
      </c>
      <c r="J10" s="327">
        <v>57</v>
      </c>
      <c r="K10" s="282">
        <v>67872.3</v>
      </c>
      <c r="L10" s="263">
        <v>58</v>
      </c>
      <c r="M10" s="338">
        <f t="shared" si="0"/>
        <v>162962.17000000001</v>
      </c>
      <c r="N10" s="339">
        <f t="shared" si="0"/>
        <v>215</v>
      </c>
      <c r="O10" s="329">
        <f t="shared" si="1"/>
        <v>757.96358139534891</v>
      </c>
    </row>
    <row r="11" spans="1:15" x14ac:dyDescent="0.25">
      <c r="A11" s="335" t="s">
        <v>716</v>
      </c>
      <c r="B11" s="336" t="s">
        <v>717</v>
      </c>
      <c r="C11" s="264">
        <v>12994.599999999999</v>
      </c>
      <c r="D11" s="263">
        <v>45</v>
      </c>
      <c r="E11" s="264">
        <f>1854.97+0+5689.7+866.34</f>
        <v>8411.01</v>
      </c>
      <c r="F11" s="263">
        <f>23+14+4+20</f>
        <v>61</v>
      </c>
      <c r="G11" s="264">
        <v>4120.21</v>
      </c>
      <c r="H11" s="263">
        <v>72</v>
      </c>
      <c r="I11" s="337">
        <v>6266.11</v>
      </c>
      <c r="J11" s="327">
        <v>80</v>
      </c>
      <c r="K11" s="282">
        <v>2517.6999999999998</v>
      </c>
      <c r="L11" s="263">
        <v>88</v>
      </c>
      <c r="M11" s="338">
        <f t="shared" si="0"/>
        <v>34309.629999999997</v>
      </c>
      <c r="N11" s="339">
        <f t="shared" si="0"/>
        <v>346</v>
      </c>
      <c r="O11" s="329">
        <f t="shared" si="1"/>
        <v>99.1607803468208</v>
      </c>
    </row>
    <row r="12" spans="1:15" x14ac:dyDescent="0.25">
      <c r="A12" s="335" t="s">
        <v>718</v>
      </c>
      <c r="B12" s="336" t="s">
        <v>719</v>
      </c>
      <c r="C12" s="264">
        <f>34394.38+7641.1</f>
        <v>42035.479999999996</v>
      </c>
      <c r="D12" s="263">
        <v>8</v>
      </c>
      <c r="E12" s="264">
        <f>4946.51+141.39+17529.49</f>
        <v>22617.390000000003</v>
      </c>
      <c r="F12" s="263">
        <f>12+14</f>
        <v>26</v>
      </c>
      <c r="G12" s="264">
        <f>5781.72+3979.27</f>
        <v>9760.99</v>
      </c>
      <c r="H12" s="263">
        <f>11+10</f>
        <v>21</v>
      </c>
      <c r="I12" s="337">
        <v>72668.95</v>
      </c>
      <c r="J12" s="327">
        <f>15+23</f>
        <v>38</v>
      </c>
      <c r="K12" s="282">
        <v>82359.47</v>
      </c>
      <c r="L12" s="263">
        <v>40</v>
      </c>
      <c r="M12" s="338">
        <f t="shared" si="0"/>
        <v>229442.28</v>
      </c>
      <c r="N12" s="339">
        <f t="shared" si="0"/>
        <v>133</v>
      </c>
      <c r="O12" s="329">
        <f t="shared" si="1"/>
        <v>1725.1299248120301</v>
      </c>
    </row>
    <row r="13" spans="1:15" x14ac:dyDescent="0.25">
      <c r="A13" s="335" t="s">
        <v>720</v>
      </c>
      <c r="B13" s="336" t="s">
        <v>721</v>
      </c>
      <c r="C13" s="264">
        <v>68300.55</v>
      </c>
      <c r="D13" s="263">
        <v>23</v>
      </c>
      <c r="E13" s="264">
        <f>85757.01+2955.87+107.18+695.13</f>
        <v>89515.189999999988</v>
      </c>
      <c r="F13" s="263">
        <f>16+5+1+12</f>
        <v>34</v>
      </c>
      <c r="G13" s="264">
        <v>109388.26</v>
      </c>
      <c r="H13" s="263">
        <v>46</v>
      </c>
      <c r="I13" s="337">
        <v>76907.08</v>
      </c>
      <c r="J13" s="327">
        <v>73</v>
      </c>
      <c r="K13" s="282">
        <v>10574.99</v>
      </c>
      <c r="L13" s="263">
        <v>93</v>
      </c>
      <c r="M13" s="338">
        <f t="shared" si="0"/>
        <v>354686.07</v>
      </c>
      <c r="N13" s="339">
        <f t="shared" si="0"/>
        <v>269</v>
      </c>
      <c r="O13" s="329">
        <f t="shared" si="1"/>
        <v>1318.5355762081786</v>
      </c>
    </row>
    <row r="14" spans="1:15" x14ac:dyDescent="0.25">
      <c r="A14" s="340" t="s">
        <v>722</v>
      </c>
      <c r="B14" s="341" t="s">
        <v>723</v>
      </c>
      <c r="C14" s="264">
        <v>8837.9500000000007</v>
      </c>
      <c r="D14" s="263">
        <v>54</v>
      </c>
      <c r="E14" s="264">
        <f>3465.3+41346.51+111.73+9261.53</f>
        <v>54185.070000000007</v>
      </c>
      <c r="F14" s="263">
        <f>16+22+16+12</f>
        <v>66</v>
      </c>
      <c r="G14" s="264">
        <v>13150.61</v>
      </c>
      <c r="H14" s="263">
        <v>101</v>
      </c>
      <c r="I14" s="337">
        <v>19840.79</v>
      </c>
      <c r="J14" s="327">
        <v>121</v>
      </c>
      <c r="K14" s="282">
        <v>11570.89</v>
      </c>
      <c r="L14" s="263">
        <v>124</v>
      </c>
      <c r="M14" s="338">
        <f t="shared" si="0"/>
        <v>107585.31000000001</v>
      </c>
      <c r="N14" s="339">
        <f t="shared" si="0"/>
        <v>466</v>
      </c>
      <c r="O14" s="329">
        <f t="shared" si="1"/>
        <v>230.86976394849788</v>
      </c>
    </row>
    <row r="15" spans="1:15" x14ac:dyDescent="0.25">
      <c r="A15" s="340" t="s">
        <v>724</v>
      </c>
      <c r="B15" s="341" t="s">
        <v>725</v>
      </c>
      <c r="C15" s="264"/>
      <c r="D15" s="263"/>
      <c r="E15" s="264">
        <v>36.71</v>
      </c>
      <c r="F15" s="263">
        <v>1</v>
      </c>
      <c r="G15" s="264"/>
      <c r="H15" s="263"/>
      <c r="I15" s="337">
        <v>0</v>
      </c>
      <c r="J15" s="327"/>
      <c r="K15" s="282"/>
      <c r="L15" s="263"/>
      <c r="M15" s="338">
        <f t="shared" si="0"/>
        <v>36.71</v>
      </c>
      <c r="N15" s="339">
        <f t="shared" si="0"/>
        <v>1</v>
      </c>
      <c r="O15" s="329">
        <f t="shared" si="1"/>
        <v>36.71</v>
      </c>
    </row>
    <row r="16" spans="1:15" x14ac:dyDescent="0.25">
      <c r="A16" s="340" t="s">
        <v>726</v>
      </c>
      <c r="B16" s="341" t="s">
        <v>727</v>
      </c>
      <c r="C16" s="264">
        <v>605.25</v>
      </c>
      <c r="D16" s="263">
        <v>21</v>
      </c>
      <c r="E16" s="264">
        <f>2507.7+36.71</f>
        <v>2544.41</v>
      </c>
      <c r="F16" s="263">
        <v>27</v>
      </c>
      <c r="G16" s="264">
        <v>581.03</v>
      </c>
      <c r="H16" s="263">
        <v>32</v>
      </c>
      <c r="I16" s="337">
        <v>490.73</v>
      </c>
      <c r="J16" s="327">
        <v>35</v>
      </c>
      <c r="K16" s="282">
        <v>56270.04</v>
      </c>
      <c r="L16" s="263">
        <v>36</v>
      </c>
      <c r="M16" s="338">
        <f t="shared" si="0"/>
        <v>60491.46</v>
      </c>
      <c r="N16" s="339">
        <f t="shared" si="0"/>
        <v>151</v>
      </c>
      <c r="O16" s="329">
        <f t="shared" si="1"/>
        <v>400.60569536423839</v>
      </c>
    </row>
    <row r="17" spans="1:15" x14ac:dyDescent="0.25">
      <c r="A17" s="340" t="s">
        <v>728</v>
      </c>
      <c r="B17" s="341" t="s">
        <v>729</v>
      </c>
      <c r="C17" s="264"/>
      <c r="D17" s="263"/>
      <c r="E17" s="264"/>
      <c r="F17" s="263"/>
      <c r="G17" s="264"/>
      <c r="H17" s="263">
        <v>2</v>
      </c>
      <c r="I17" s="337">
        <v>0</v>
      </c>
      <c r="J17" s="327">
        <v>3</v>
      </c>
      <c r="K17" s="282"/>
      <c r="L17" s="263">
        <v>5</v>
      </c>
      <c r="M17" s="338">
        <f t="shared" si="0"/>
        <v>0</v>
      </c>
      <c r="N17" s="339">
        <f t="shared" si="0"/>
        <v>10</v>
      </c>
      <c r="O17" s="329">
        <f t="shared" si="1"/>
        <v>0</v>
      </c>
    </row>
    <row r="18" spans="1:15" x14ac:dyDescent="0.25">
      <c r="A18" s="340" t="s">
        <v>730</v>
      </c>
      <c r="B18" s="341" t="s">
        <v>731</v>
      </c>
      <c r="C18" s="264">
        <v>83.79</v>
      </c>
      <c r="D18" s="263">
        <v>11</v>
      </c>
      <c r="E18" s="264">
        <f>94.25+94.25+94.25</f>
        <v>282.75</v>
      </c>
      <c r="F18" s="263">
        <f>12+10</f>
        <v>22</v>
      </c>
      <c r="G18" s="264"/>
      <c r="H18" s="263">
        <v>27</v>
      </c>
      <c r="I18" s="337">
        <v>1066.8499999999999</v>
      </c>
      <c r="J18" s="327">
        <v>30</v>
      </c>
      <c r="K18" s="282"/>
      <c r="L18" s="263">
        <v>33</v>
      </c>
      <c r="M18" s="338">
        <f t="shared" si="0"/>
        <v>1433.3899999999999</v>
      </c>
      <c r="N18" s="339">
        <f t="shared" si="0"/>
        <v>123</v>
      </c>
      <c r="O18" s="329">
        <f t="shared" si="1"/>
        <v>11.653577235772357</v>
      </c>
    </row>
    <row r="19" spans="1:15" x14ac:dyDescent="0.25">
      <c r="A19" s="340" t="s">
        <v>732</v>
      </c>
      <c r="B19" s="341" t="s">
        <v>733</v>
      </c>
      <c r="C19" s="264">
        <v>4127.0600000000004</v>
      </c>
      <c r="D19" s="263">
        <v>214</v>
      </c>
      <c r="E19" s="264">
        <f>4743.93+504.67</f>
        <v>5248.6</v>
      </c>
      <c r="F19" s="263">
        <f>171+51+26</f>
        <v>248</v>
      </c>
      <c r="G19" s="264">
        <v>3270.61</v>
      </c>
      <c r="H19" s="263">
        <v>274</v>
      </c>
      <c r="I19" s="337">
        <v>4728.75</v>
      </c>
      <c r="J19" s="327">
        <v>296</v>
      </c>
      <c r="K19" s="282">
        <v>7881.12</v>
      </c>
      <c r="L19" s="263">
        <v>312</v>
      </c>
      <c r="M19" s="338">
        <f t="shared" si="0"/>
        <v>25256.14</v>
      </c>
      <c r="N19" s="339">
        <f t="shared" si="0"/>
        <v>1344</v>
      </c>
      <c r="O19" s="329">
        <f t="shared" si="1"/>
        <v>18.791770833333334</v>
      </c>
    </row>
    <row r="20" spans="1:15" x14ac:dyDescent="0.25">
      <c r="A20" s="340" t="s">
        <v>734</v>
      </c>
      <c r="B20" s="341" t="s">
        <v>735</v>
      </c>
      <c r="C20" s="264"/>
      <c r="D20" s="263"/>
      <c r="E20" s="264"/>
      <c r="F20" s="263"/>
      <c r="G20" s="264"/>
      <c r="H20" s="263">
        <f>15+22+3+4</f>
        <v>44</v>
      </c>
      <c r="I20" s="337">
        <v>0</v>
      </c>
      <c r="J20" s="327">
        <f>41</f>
        <v>41</v>
      </c>
      <c r="K20" s="282">
        <v>330</v>
      </c>
      <c r="L20" s="263">
        <v>39</v>
      </c>
      <c r="M20" s="338">
        <f t="shared" si="0"/>
        <v>330</v>
      </c>
      <c r="N20" s="339">
        <f t="shared" si="0"/>
        <v>124</v>
      </c>
      <c r="O20" s="329">
        <f t="shared" si="1"/>
        <v>2.661290322580645</v>
      </c>
    </row>
    <row r="21" spans="1:15" x14ac:dyDescent="0.25">
      <c r="A21" s="340" t="s">
        <v>736</v>
      </c>
      <c r="B21" s="341" t="s">
        <v>737</v>
      </c>
      <c r="C21" s="264"/>
      <c r="D21" s="263"/>
      <c r="E21" s="264">
        <v>36.71</v>
      </c>
      <c r="F21" s="263">
        <v>4</v>
      </c>
      <c r="G21" s="264"/>
      <c r="H21" s="263">
        <v>4</v>
      </c>
      <c r="I21" s="337">
        <v>0</v>
      </c>
      <c r="J21" s="327">
        <v>3</v>
      </c>
      <c r="K21" s="282"/>
      <c r="L21" s="263">
        <v>4</v>
      </c>
      <c r="M21" s="338">
        <f t="shared" si="0"/>
        <v>36.71</v>
      </c>
      <c r="N21" s="339">
        <f t="shared" si="0"/>
        <v>15</v>
      </c>
      <c r="O21" s="329">
        <f t="shared" si="1"/>
        <v>2.4473333333333334</v>
      </c>
    </row>
    <row r="22" spans="1:15" x14ac:dyDescent="0.25">
      <c r="A22" s="340" t="s">
        <v>738</v>
      </c>
      <c r="B22" s="341" t="s">
        <v>739</v>
      </c>
      <c r="C22" s="264">
        <v>1840.59</v>
      </c>
      <c r="D22" s="263">
        <v>162</v>
      </c>
      <c r="E22" s="264">
        <v>2962.74</v>
      </c>
      <c r="F22" s="263">
        <v>177</v>
      </c>
      <c r="G22" s="264">
        <v>4155.29</v>
      </c>
      <c r="H22" s="263">
        <v>191</v>
      </c>
      <c r="I22" s="337">
        <v>1322.6</v>
      </c>
      <c r="J22" s="327">
        <v>195</v>
      </c>
      <c r="K22" s="282">
        <v>56089.95</v>
      </c>
      <c r="L22" s="263">
        <v>215</v>
      </c>
      <c r="M22" s="338">
        <f t="shared" si="0"/>
        <v>66371.17</v>
      </c>
      <c r="N22" s="339">
        <f t="shared" si="0"/>
        <v>940</v>
      </c>
      <c r="O22" s="329">
        <f t="shared" si="1"/>
        <v>70.607627659574462</v>
      </c>
    </row>
    <row r="23" spans="1:15" x14ac:dyDescent="0.25">
      <c r="A23" s="340" t="s">
        <v>740</v>
      </c>
      <c r="B23" s="341" t="s">
        <v>741</v>
      </c>
      <c r="C23" s="264">
        <v>32861.89</v>
      </c>
      <c r="D23" s="263">
        <v>24</v>
      </c>
      <c r="E23" s="264">
        <f>36.71+1827.46+25484.93</f>
        <v>27349.1</v>
      </c>
      <c r="F23" s="263">
        <f>4+9+22</f>
        <v>35</v>
      </c>
      <c r="G23" s="264">
        <v>29889.66</v>
      </c>
      <c r="H23" s="263">
        <v>40</v>
      </c>
      <c r="I23" s="337">
        <v>38361.649999999994</v>
      </c>
      <c r="J23" s="327">
        <v>40</v>
      </c>
      <c r="K23" s="282">
        <v>31575.52</v>
      </c>
      <c r="L23" s="263">
        <v>51</v>
      </c>
      <c r="M23" s="338">
        <f t="shared" si="0"/>
        <v>160037.81999999998</v>
      </c>
      <c r="N23" s="339">
        <f t="shared" si="0"/>
        <v>190</v>
      </c>
      <c r="O23" s="329">
        <f t="shared" si="1"/>
        <v>842.30431578947355</v>
      </c>
    </row>
    <row r="24" spans="1:15" x14ac:dyDescent="0.25">
      <c r="A24" s="340" t="s">
        <v>742</v>
      </c>
      <c r="B24" s="341" t="s">
        <v>743</v>
      </c>
      <c r="C24" s="264"/>
      <c r="D24" s="263"/>
      <c r="E24" s="264">
        <f>866.34</f>
        <v>866.34</v>
      </c>
      <c r="F24" s="263">
        <v>44</v>
      </c>
      <c r="G24" s="264">
        <v>25</v>
      </c>
      <c r="H24" s="263">
        <v>46</v>
      </c>
      <c r="I24" s="337">
        <v>0</v>
      </c>
      <c r="J24" s="327">
        <v>46</v>
      </c>
      <c r="K24" s="282"/>
      <c r="L24" s="263">
        <v>54</v>
      </c>
      <c r="M24" s="338">
        <f t="shared" si="0"/>
        <v>891.34</v>
      </c>
      <c r="N24" s="339">
        <f t="shared" si="0"/>
        <v>190</v>
      </c>
      <c r="O24" s="329">
        <f t="shared" si="1"/>
        <v>4.6912631578947366</v>
      </c>
    </row>
    <row r="25" spans="1:15" x14ac:dyDescent="0.25">
      <c r="A25" s="340" t="s">
        <v>744</v>
      </c>
      <c r="B25" s="341" t="s">
        <v>745</v>
      </c>
      <c r="C25" s="264">
        <v>144.47</v>
      </c>
      <c r="D25" s="263">
        <v>0</v>
      </c>
      <c r="E25" s="264">
        <v>144.41</v>
      </c>
      <c r="F25" s="263">
        <v>0</v>
      </c>
      <c r="G25" s="264">
        <v>12241.34</v>
      </c>
      <c r="H25" s="263">
        <v>3</v>
      </c>
      <c r="I25" s="337">
        <v>10531.33</v>
      </c>
      <c r="J25" s="327">
        <v>6</v>
      </c>
      <c r="K25" s="282">
        <v>-356.79</v>
      </c>
      <c r="L25" s="263">
        <v>8</v>
      </c>
      <c r="M25" s="338">
        <f t="shared" si="0"/>
        <v>22704.76</v>
      </c>
      <c r="N25" s="339">
        <f t="shared" si="0"/>
        <v>17</v>
      </c>
      <c r="O25" s="329">
        <f t="shared" si="1"/>
        <v>1335.5741176470588</v>
      </c>
    </row>
    <row r="26" spans="1:15" x14ac:dyDescent="0.25">
      <c r="A26" s="340" t="s">
        <v>746</v>
      </c>
      <c r="B26" s="341" t="s">
        <v>747</v>
      </c>
      <c r="C26" s="264">
        <v>254.04</v>
      </c>
      <c r="D26" s="263">
        <v>68</v>
      </c>
      <c r="E26" s="264">
        <f>1289.7+221.99+866.34+282.77+390.73+866.34</f>
        <v>3917.8700000000003</v>
      </c>
      <c r="F26" s="263">
        <f>26+16+35+20+33+31</f>
        <v>161</v>
      </c>
      <c r="G26" s="264">
        <v>909</v>
      </c>
      <c r="H26" s="263">
        <v>173</v>
      </c>
      <c r="I26" s="337">
        <v>732.42000000000007</v>
      </c>
      <c r="J26" s="327">
        <v>189</v>
      </c>
      <c r="K26" s="282">
        <v>4228.59</v>
      </c>
      <c r="L26" s="263">
        <v>213</v>
      </c>
      <c r="M26" s="338">
        <f t="shared" si="0"/>
        <v>10041.920000000002</v>
      </c>
      <c r="N26" s="339">
        <f t="shared" si="0"/>
        <v>804</v>
      </c>
      <c r="O26" s="329">
        <f t="shared" si="1"/>
        <v>12.489950248756221</v>
      </c>
    </row>
    <row r="27" spans="1:15" hidden="1" x14ac:dyDescent="0.25">
      <c r="A27" s="340" t="s">
        <v>748</v>
      </c>
      <c r="B27" s="341"/>
      <c r="C27" s="264">
        <v>121</v>
      </c>
      <c r="D27" s="263">
        <v>0</v>
      </c>
      <c r="E27" s="264">
        <f>282.77+121.57</f>
        <v>404.34</v>
      </c>
      <c r="F27" s="263">
        <v>0</v>
      </c>
      <c r="G27" s="264">
        <v>173.68</v>
      </c>
      <c r="H27" s="263"/>
      <c r="I27" s="337">
        <v>93.8</v>
      </c>
      <c r="J27" s="327">
        <v>0</v>
      </c>
      <c r="K27" s="282">
        <v>0</v>
      </c>
      <c r="L27" s="263">
        <v>0</v>
      </c>
      <c r="M27" s="338">
        <f t="shared" si="0"/>
        <v>792.81999999999994</v>
      </c>
      <c r="N27" s="339">
        <f t="shared" si="0"/>
        <v>0</v>
      </c>
      <c r="O27" s="330"/>
    </row>
    <row r="28" spans="1:15" x14ac:dyDescent="0.25">
      <c r="A28" s="340" t="s">
        <v>749</v>
      </c>
      <c r="B28" s="341" t="s">
        <v>750</v>
      </c>
      <c r="C28" s="264">
        <v>84</v>
      </c>
      <c r="D28" s="263">
        <v>11</v>
      </c>
      <c r="E28" s="264">
        <f>383.1+222+235.72+214.36+111.73+394.01</f>
        <v>1560.92</v>
      </c>
      <c r="F28" s="263">
        <f>21+8+2</f>
        <v>31</v>
      </c>
      <c r="G28" s="264">
        <v>1362.36</v>
      </c>
      <c r="H28" s="268">
        <v>35</v>
      </c>
      <c r="I28" s="337">
        <v>0</v>
      </c>
      <c r="J28" s="327">
        <v>44</v>
      </c>
      <c r="K28" s="283">
        <v>1870</v>
      </c>
      <c r="L28" s="268">
        <v>48</v>
      </c>
      <c r="M28" s="338">
        <f t="shared" si="0"/>
        <v>4877.28</v>
      </c>
      <c r="N28" s="339">
        <f t="shared" si="0"/>
        <v>169</v>
      </c>
      <c r="O28" s="329">
        <f t="shared" si="1"/>
        <v>28.859644970414198</v>
      </c>
    </row>
    <row r="29" spans="1:15" x14ac:dyDescent="0.25">
      <c r="A29" s="342">
        <v>499</v>
      </c>
      <c r="B29" s="343" t="s">
        <v>751</v>
      </c>
      <c r="C29" s="265"/>
      <c r="D29" s="266"/>
      <c r="E29" s="265">
        <v>23880.06</v>
      </c>
      <c r="F29" s="266"/>
      <c r="G29" s="265">
        <v>428129.97</v>
      </c>
      <c r="H29" s="269"/>
      <c r="I29" s="265">
        <v>264730.40000000002</v>
      </c>
      <c r="J29" s="328"/>
      <c r="K29" s="284">
        <v>255325.42</v>
      </c>
      <c r="L29" s="269"/>
      <c r="M29" s="331">
        <f t="shared" si="0"/>
        <v>972065.85</v>
      </c>
      <c r="N29" s="332">
        <f t="shared" si="0"/>
        <v>0</v>
      </c>
      <c r="O29" s="333">
        <v>0</v>
      </c>
    </row>
  </sheetData>
  <mergeCells count="5">
    <mergeCell ref="C1:D1"/>
    <mergeCell ref="E1:F1"/>
    <mergeCell ref="G1:H1"/>
    <mergeCell ref="I1:J1"/>
    <mergeCell ref="K1:L1"/>
  </mergeCells>
  <pageMargins left="0.25" right="0.25" top="0.75" bottom="0.75" header="0.3" footer="0.3"/>
  <pageSetup scale="81" orientation="landscape"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E30"/>
  <sheetViews>
    <sheetView workbookViewId="0">
      <selection activeCell="D3" sqref="D3"/>
    </sheetView>
  </sheetViews>
  <sheetFormatPr defaultRowHeight="12.75" x14ac:dyDescent="0.2"/>
  <cols>
    <col min="1" max="1" width="62.28515625" customWidth="1"/>
    <col min="2" max="2" width="11" customWidth="1"/>
    <col min="3" max="3" width="10.28515625" customWidth="1"/>
    <col min="4" max="4" width="12.5703125" customWidth="1"/>
  </cols>
  <sheetData>
    <row r="1" spans="1:5" ht="25.5" x14ac:dyDescent="0.2">
      <c r="A1" s="118" t="s">
        <v>175</v>
      </c>
      <c r="B1" s="280" t="s">
        <v>762</v>
      </c>
      <c r="C1" s="280" t="s">
        <v>764</v>
      </c>
      <c r="D1" s="118"/>
    </row>
    <row r="2" spans="1:5" ht="15.75" x14ac:dyDescent="0.2">
      <c r="A2" s="119" t="s">
        <v>761</v>
      </c>
      <c r="B2" s="278" t="s">
        <v>766</v>
      </c>
      <c r="C2" s="278">
        <v>1</v>
      </c>
      <c r="D2" s="275" t="str">
        <f>IF($B$2="PC",(1500*C2),IF($B$2="MAC",(2500*C2),""))</f>
        <v/>
      </c>
    </row>
    <row r="3" spans="1:5" ht="15.75" x14ac:dyDescent="0.2">
      <c r="A3" s="119" t="s">
        <v>756</v>
      </c>
      <c r="B3" s="119"/>
      <c r="C3" s="119"/>
      <c r="D3" s="122">
        <v>0</v>
      </c>
    </row>
    <row r="4" spans="1:5" ht="15.75" x14ac:dyDescent="0.2">
      <c r="A4" s="119" t="s">
        <v>179</v>
      </c>
      <c r="B4" s="119"/>
      <c r="C4" s="119"/>
      <c r="D4" s="122">
        <v>0</v>
      </c>
      <c r="E4" s="119"/>
    </row>
    <row r="5" spans="1:5" ht="15.75" x14ac:dyDescent="0.2">
      <c r="A5" s="119" t="s">
        <v>176</v>
      </c>
      <c r="B5" s="119"/>
      <c r="C5" s="119"/>
      <c r="D5" s="122">
        <v>0</v>
      </c>
    </row>
    <row r="6" spans="1:5" ht="15.75" x14ac:dyDescent="0.2">
      <c r="A6" s="119" t="s">
        <v>180</v>
      </c>
      <c r="B6" s="119"/>
      <c r="C6" s="119"/>
      <c r="D6" s="122">
        <v>0</v>
      </c>
      <c r="E6" s="119"/>
    </row>
    <row r="7" spans="1:5" ht="18" x14ac:dyDescent="0.2">
      <c r="A7" s="119" t="s">
        <v>177</v>
      </c>
      <c r="B7" s="119"/>
      <c r="C7" s="119"/>
      <c r="D7" s="126">
        <v>0</v>
      </c>
    </row>
    <row r="8" spans="1:5" ht="15.75" x14ac:dyDescent="0.2">
      <c r="A8" s="119" t="s">
        <v>178</v>
      </c>
      <c r="B8" s="119"/>
      <c r="C8" s="119"/>
      <c r="D8" s="275">
        <f>SUM(D2:D7)</f>
        <v>0</v>
      </c>
    </row>
    <row r="9" spans="1:5" ht="15.75" x14ac:dyDescent="0.2">
      <c r="A9" s="120"/>
      <c r="B9" s="120"/>
      <c r="C9" s="120"/>
      <c r="D9" s="123"/>
    </row>
    <row r="10" spans="1:5" ht="18.75" x14ac:dyDescent="0.2">
      <c r="A10" s="118" t="s">
        <v>759</v>
      </c>
      <c r="B10" s="118"/>
      <c r="C10" s="118"/>
      <c r="D10" s="124"/>
    </row>
    <row r="11" spans="1:5" ht="15.75" x14ac:dyDescent="0.2">
      <c r="A11" s="119" t="s">
        <v>758</v>
      </c>
      <c r="B11" s="119"/>
      <c r="C11" s="119"/>
      <c r="D11" s="276" t="str">
        <f>IF(D2="","",3)</f>
        <v/>
      </c>
      <c r="E11" s="274"/>
    </row>
    <row r="12" spans="1:5" ht="15.75" x14ac:dyDescent="0.2">
      <c r="A12" s="119" t="s">
        <v>183</v>
      </c>
      <c r="B12" s="119"/>
      <c r="C12" s="119"/>
      <c r="D12" s="276" t="str">
        <f>IF(D2="","",(21*C2))</f>
        <v/>
      </c>
      <c r="E12" s="274"/>
    </row>
    <row r="13" spans="1:5" ht="18" x14ac:dyDescent="0.2">
      <c r="A13" s="119" t="s">
        <v>763</v>
      </c>
      <c r="B13" s="119"/>
      <c r="C13" s="119"/>
      <c r="D13" s="126">
        <f>IF(D2="",0,((D2*0.1)*D11))</f>
        <v>0</v>
      </c>
    </row>
    <row r="14" spans="1:5" ht="15.75" x14ac:dyDescent="0.2">
      <c r="A14" s="119"/>
      <c r="B14" s="119"/>
      <c r="C14" s="119"/>
      <c r="D14" s="277">
        <f>SUM(D11:D13)</f>
        <v>0</v>
      </c>
      <c r="E14" s="274"/>
    </row>
    <row r="15" spans="1:5" ht="18.75" x14ac:dyDescent="0.2">
      <c r="A15" s="118" t="s">
        <v>760</v>
      </c>
      <c r="B15" s="119"/>
      <c r="C15" s="119"/>
      <c r="D15" s="276"/>
      <c r="E15" s="274"/>
    </row>
    <row r="16" spans="1:5" ht="15.75" x14ac:dyDescent="0.2">
      <c r="A16" s="119" t="s">
        <v>757</v>
      </c>
      <c r="B16" s="119"/>
      <c r="C16" s="119"/>
      <c r="D16" s="122">
        <v>0</v>
      </c>
      <c r="E16" s="274"/>
    </row>
    <row r="17" spans="1:4" ht="15.75" x14ac:dyDescent="0.2">
      <c r="A17" s="119" t="s">
        <v>183</v>
      </c>
      <c r="B17" s="119"/>
      <c r="C17" s="119"/>
      <c r="D17" s="122">
        <f>IF(D16=0,0,21)</f>
        <v>0</v>
      </c>
    </row>
    <row r="18" spans="1:4" ht="18" x14ac:dyDescent="0.2">
      <c r="A18" s="119" t="s">
        <v>182</v>
      </c>
      <c r="B18" s="119"/>
      <c r="C18" s="119"/>
      <c r="D18" s="126">
        <f>IF(D3=0,0,(D3/D16))</f>
        <v>0</v>
      </c>
    </row>
    <row r="19" spans="1:4" ht="15.75" x14ac:dyDescent="0.2">
      <c r="A19" s="119"/>
      <c r="B19" s="119"/>
      <c r="C19" s="119"/>
      <c r="D19" s="275">
        <f>(D16*D17)+D18</f>
        <v>0</v>
      </c>
    </row>
    <row r="20" spans="1:4" ht="18" x14ac:dyDescent="0.2">
      <c r="A20" s="119"/>
      <c r="B20" s="119"/>
      <c r="C20" s="119"/>
      <c r="D20" s="126"/>
    </row>
    <row r="21" spans="1:4" ht="15.75" x14ac:dyDescent="0.2">
      <c r="A21" s="119" t="s">
        <v>181</v>
      </c>
      <c r="B21" s="119"/>
      <c r="C21" s="119"/>
      <c r="D21" s="275">
        <f>D14+D19</f>
        <v>0</v>
      </c>
    </row>
    <row r="22" spans="1:4" ht="15.75" x14ac:dyDescent="0.2">
      <c r="A22" s="121"/>
      <c r="B22" s="121"/>
      <c r="C22" s="121"/>
      <c r="D22" s="125"/>
    </row>
    <row r="23" spans="1:4" ht="18.75" x14ac:dyDescent="0.2">
      <c r="A23" s="118" t="s">
        <v>174</v>
      </c>
      <c r="B23" s="118"/>
      <c r="C23" s="118"/>
      <c r="D23" s="124"/>
    </row>
    <row r="24" spans="1:4" ht="15.75" x14ac:dyDescent="0.2">
      <c r="A24" s="119" t="s">
        <v>184</v>
      </c>
      <c r="B24" s="119"/>
      <c r="C24" s="119"/>
      <c r="D24" s="279">
        <f>D8+D14+D21</f>
        <v>0</v>
      </c>
    </row>
    <row r="25" spans="1:4" x14ac:dyDescent="0.2">
      <c r="D25" s="80"/>
    </row>
    <row r="26" spans="1:4" x14ac:dyDescent="0.2">
      <c r="D26" s="80"/>
    </row>
    <row r="27" spans="1:4" x14ac:dyDescent="0.2">
      <c r="D27" s="80"/>
    </row>
    <row r="28" spans="1:4" x14ac:dyDescent="0.2">
      <c r="D28" s="80"/>
    </row>
    <row r="29" spans="1:4" x14ac:dyDescent="0.2">
      <c r="D29" s="80"/>
    </row>
    <row r="30" spans="1:4" x14ac:dyDescent="0.2">
      <c r="D30" s="80"/>
    </row>
  </sheetData>
  <dataValidations count="2">
    <dataValidation type="list" allowBlank="1" showInputMessage="1" showErrorMessage="1" sqref="B2">
      <formula1>"N/A,PC, MAC"</formula1>
    </dataValidation>
    <dataValidation type="whole" allowBlank="1" showInputMessage="1" showErrorMessage="1" sqref="C2">
      <formula1>0</formula1>
      <formula2>1000000</formula2>
    </dataValidation>
  </dataValidations>
  <pageMargins left="0.25" right="0.25"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23"/>
  <sheetViews>
    <sheetView workbookViewId="0">
      <selection activeCell="A3" sqref="A3"/>
    </sheetView>
  </sheetViews>
  <sheetFormatPr defaultRowHeight="12.75" x14ac:dyDescent="0.2"/>
  <cols>
    <col min="1" max="1" width="7.28515625" customWidth="1"/>
    <col min="2" max="2" width="10.7109375" customWidth="1"/>
    <col min="3" max="3" width="12.5703125" bestFit="1" customWidth="1"/>
    <col min="4" max="4" width="1.7109375" customWidth="1"/>
    <col min="5" max="5" width="12.5703125" bestFit="1" customWidth="1"/>
    <col min="6" max="6" width="12.85546875" bestFit="1" customWidth="1"/>
    <col min="7" max="7" width="11" customWidth="1"/>
    <col min="8" max="8" width="11.5703125" customWidth="1"/>
    <col min="9" max="9" width="1.7109375" customWidth="1"/>
    <col min="10" max="10" width="16.7109375" customWidth="1"/>
    <col min="11" max="11" width="16.140625" customWidth="1"/>
    <col min="12" max="12" width="12.28515625" customWidth="1"/>
    <col min="13" max="13" width="14" customWidth="1"/>
    <col min="14" max="14" width="1.7109375" customWidth="1"/>
    <col min="15" max="15" width="10" bestFit="1" customWidth="1"/>
    <col min="16" max="16" width="17.140625" customWidth="1"/>
    <col min="17" max="17" width="10.140625" customWidth="1"/>
    <col min="18" max="18" width="10.42578125" customWidth="1"/>
  </cols>
  <sheetData>
    <row r="1" spans="1:18" ht="26.25" x14ac:dyDescent="0.4">
      <c r="A1" s="297" t="s">
        <v>633</v>
      </c>
      <c r="B1" s="281"/>
      <c r="C1" s="281"/>
      <c r="D1" s="281"/>
      <c r="E1" s="281"/>
      <c r="F1" s="281"/>
      <c r="G1" s="281"/>
      <c r="H1" s="281"/>
      <c r="I1" s="281"/>
      <c r="J1" s="281"/>
      <c r="K1" s="281"/>
      <c r="L1" s="281"/>
      <c r="M1" s="281"/>
      <c r="N1" s="281"/>
      <c r="O1" s="281"/>
      <c r="P1" s="281"/>
    </row>
    <row r="2" spans="1:18" ht="26.25" x14ac:dyDescent="0.4">
      <c r="A2" s="297" t="s">
        <v>1053</v>
      </c>
      <c r="B2" s="281"/>
      <c r="C2" s="281"/>
      <c r="D2" s="281"/>
      <c r="E2" s="281"/>
      <c r="F2" s="281"/>
      <c r="G2" s="281"/>
      <c r="H2" s="281"/>
      <c r="I2" s="281"/>
      <c r="J2" s="281"/>
      <c r="K2" s="281"/>
      <c r="L2" s="281"/>
      <c r="M2" s="281"/>
      <c r="N2" s="281"/>
      <c r="O2" s="281"/>
      <c r="P2" s="281"/>
    </row>
    <row r="3" spans="1:18" x14ac:dyDescent="0.2">
      <c r="A3" s="281"/>
      <c r="B3" s="281"/>
      <c r="C3" s="281"/>
      <c r="D3" s="281"/>
      <c r="E3" s="281"/>
      <c r="F3" s="281"/>
      <c r="G3" s="281"/>
      <c r="H3" s="281"/>
      <c r="I3" s="281"/>
      <c r="J3" s="281"/>
      <c r="K3" s="281"/>
      <c r="L3" s="281"/>
      <c r="M3" s="281"/>
      <c r="N3" s="281"/>
      <c r="O3" s="281"/>
      <c r="P3" s="281"/>
    </row>
    <row r="4" spans="1:18" x14ac:dyDescent="0.2">
      <c r="A4" s="281"/>
      <c r="B4" s="281"/>
      <c r="C4" s="281"/>
      <c r="D4" s="281"/>
      <c r="E4" s="281"/>
      <c r="F4" s="281"/>
      <c r="G4" s="281"/>
      <c r="H4" s="281"/>
      <c r="I4" s="281"/>
      <c r="J4" s="281"/>
      <c r="K4" s="281"/>
      <c r="L4" s="281"/>
      <c r="M4" s="281"/>
      <c r="N4" s="281"/>
      <c r="O4" s="281"/>
      <c r="P4" s="281"/>
    </row>
    <row r="5" spans="1:18" x14ac:dyDescent="0.2">
      <c r="A5" s="281"/>
      <c r="B5" s="281"/>
      <c r="C5" s="281"/>
      <c r="D5" s="281"/>
      <c r="E5" s="281"/>
      <c r="F5" s="281"/>
      <c r="G5" s="281"/>
      <c r="H5" s="281"/>
      <c r="I5" s="281"/>
      <c r="J5" s="281"/>
      <c r="K5" s="281"/>
      <c r="L5" s="281"/>
      <c r="M5" s="281"/>
      <c r="N5" s="281"/>
      <c r="O5" s="281"/>
      <c r="P5" s="281"/>
    </row>
    <row r="6" spans="1:18" x14ac:dyDescent="0.2">
      <c r="A6" s="281"/>
      <c r="B6" s="281"/>
      <c r="C6" s="281"/>
      <c r="D6" s="281"/>
      <c r="E6" s="281"/>
      <c r="F6" s="281"/>
      <c r="G6" s="281"/>
      <c r="H6" s="281"/>
      <c r="I6" s="281"/>
      <c r="J6" s="281"/>
      <c r="K6" s="281"/>
      <c r="L6" s="281"/>
      <c r="M6" s="281"/>
      <c r="N6" s="281"/>
      <c r="O6" s="281"/>
      <c r="P6" s="281"/>
    </row>
    <row r="7" spans="1:18" x14ac:dyDescent="0.2">
      <c r="A7" s="281"/>
      <c r="B7" s="281"/>
      <c r="C7" s="281"/>
      <c r="D7" s="281"/>
      <c r="E7" s="298"/>
      <c r="F7" s="299"/>
      <c r="G7" s="299"/>
      <c r="H7" s="300"/>
      <c r="I7" s="301"/>
      <c r="J7" s="298"/>
      <c r="K7" s="299"/>
      <c r="L7" s="299"/>
      <c r="M7" s="300"/>
      <c r="N7" s="301"/>
      <c r="O7" s="298"/>
      <c r="P7" s="299"/>
      <c r="Q7" s="195"/>
      <c r="R7" s="196"/>
    </row>
    <row r="8" spans="1:18" ht="21" x14ac:dyDescent="0.35">
      <c r="A8" s="302" t="s">
        <v>634</v>
      </c>
      <c r="B8" s="303" t="s">
        <v>635</v>
      </c>
      <c r="C8" s="303" t="s">
        <v>636</v>
      </c>
      <c r="D8" s="304"/>
      <c r="E8" s="305" t="s">
        <v>637</v>
      </c>
      <c r="F8" s="306" t="s">
        <v>638</v>
      </c>
      <c r="G8" s="306" t="s">
        <v>639</v>
      </c>
      <c r="H8" s="307" t="s">
        <v>640</v>
      </c>
      <c r="I8" s="301"/>
      <c r="J8" s="305" t="s">
        <v>641</v>
      </c>
      <c r="K8" s="306" t="s">
        <v>638</v>
      </c>
      <c r="L8" s="306" t="s">
        <v>639</v>
      </c>
      <c r="M8" s="307" t="s">
        <v>640</v>
      </c>
      <c r="N8" s="301"/>
      <c r="O8" s="305" t="s">
        <v>642</v>
      </c>
      <c r="P8" s="306" t="s">
        <v>638</v>
      </c>
      <c r="Q8" s="197" t="s">
        <v>639</v>
      </c>
      <c r="R8" s="198" t="s">
        <v>640</v>
      </c>
    </row>
    <row r="9" spans="1:18" ht="45" x14ac:dyDescent="0.2">
      <c r="A9" s="308" t="s">
        <v>643</v>
      </c>
      <c r="B9" s="309">
        <f>'FUSION GSF BY LOCATION'!P22</f>
        <v>94535</v>
      </c>
      <c r="C9" s="309">
        <v>44713</v>
      </c>
      <c r="D9" s="309"/>
      <c r="E9" s="310">
        <v>3346.66</v>
      </c>
      <c r="F9" s="311" t="s">
        <v>644</v>
      </c>
      <c r="G9" s="312">
        <f>+E9/B9</f>
        <v>3.5401279949225151E-2</v>
      </c>
      <c r="H9" s="313">
        <f>+E9/C9</f>
        <v>7.4847583476841187E-2</v>
      </c>
      <c r="I9" s="312"/>
      <c r="J9" s="310">
        <v>53464.1</v>
      </c>
      <c r="K9" s="314" t="s">
        <v>645</v>
      </c>
      <c r="L9" s="312">
        <f>+J9/B9</f>
        <v>0.56554820965779873</v>
      </c>
      <c r="M9" s="313">
        <f>+J9/C9</f>
        <v>1.1957171292465278</v>
      </c>
      <c r="N9" s="312"/>
      <c r="O9" s="310">
        <v>4753.83</v>
      </c>
      <c r="P9" s="314" t="s">
        <v>646</v>
      </c>
      <c r="Q9" s="199">
        <f>+O9/B9</f>
        <v>5.0286454752208179E-2</v>
      </c>
      <c r="R9" s="200">
        <f>+O9/C9</f>
        <v>0.10631874398944378</v>
      </c>
    </row>
    <row r="10" spans="1:18" ht="15" x14ac:dyDescent="0.25">
      <c r="A10" s="308" t="s">
        <v>647</v>
      </c>
      <c r="B10" s="315">
        <f>'FUSION GSF BY LOCATION'!C93</f>
        <v>1446726</v>
      </c>
      <c r="C10" s="315">
        <v>555739</v>
      </c>
      <c r="D10" s="315"/>
      <c r="E10" s="316">
        <v>214643.20000000001</v>
      </c>
      <c r="F10" s="317" t="s">
        <v>644</v>
      </c>
      <c r="G10" s="318">
        <f>+E10/B10</f>
        <v>0.14836479056849744</v>
      </c>
      <c r="H10" s="319">
        <f>+E10/C10</f>
        <v>0.38623022677911756</v>
      </c>
      <c r="I10" s="318"/>
      <c r="J10" s="316">
        <v>1633086.78</v>
      </c>
      <c r="K10" s="317" t="s">
        <v>648</v>
      </c>
      <c r="L10" s="318">
        <f>+J10/B10</f>
        <v>1.1288155324505125</v>
      </c>
      <c r="M10" s="319">
        <f>+J10/C10</f>
        <v>2.9385858829414526</v>
      </c>
      <c r="N10" s="318"/>
      <c r="O10" s="316">
        <v>349747.83</v>
      </c>
      <c r="P10" s="317" t="s">
        <v>648</v>
      </c>
      <c r="Q10" s="201">
        <f>+O10/B10</f>
        <v>0.24175125766731229</v>
      </c>
      <c r="R10" s="202">
        <f>+O10/C10</f>
        <v>0.62933828649779844</v>
      </c>
    </row>
    <row r="11" spans="1:18" ht="15" x14ac:dyDescent="0.25">
      <c r="A11" s="308" t="s">
        <v>649</v>
      </c>
      <c r="B11" s="315">
        <f>'FUSION GSF BY LOCATION'!L43</f>
        <v>237600</v>
      </c>
      <c r="C11" s="315">
        <v>165336</v>
      </c>
      <c r="D11" s="315"/>
      <c r="E11" s="316">
        <v>105327.89</v>
      </c>
      <c r="F11" s="317" t="s">
        <v>644</v>
      </c>
      <c r="G11" s="318">
        <f>+E11/B11</f>
        <v>0.44329920033670034</v>
      </c>
      <c r="H11" s="319">
        <f>+E11/C11</f>
        <v>0.63705357574877819</v>
      </c>
      <c r="I11" s="318"/>
      <c r="J11" s="316">
        <v>573643.69999999995</v>
      </c>
      <c r="K11" s="317" t="s">
        <v>650</v>
      </c>
      <c r="L11" s="318">
        <f>+J11/B11</f>
        <v>2.4143253367003363</v>
      </c>
      <c r="M11" s="319">
        <f>+J11/C11</f>
        <v>3.4695631925291526</v>
      </c>
      <c r="N11" s="318"/>
      <c r="O11" s="316">
        <v>130779.78</v>
      </c>
      <c r="P11" s="317" t="s">
        <v>651</v>
      </c>
      <c r="Q11" s="201">
        <f>+O11/B11</f>
        <v>0.55041994949494955</v>
      </c>
      <c r="R11" s="202">
        <f>+O11/C11</f>
        <v>0.79099397590361442</v>
      </c>
    </row>
    <row r="12" spans="1:18" ht="15" x14ac:dyDescent="0.25">
      <c r="A12" s="308" t="s">
        <v>652</v>
      </c>
      <c r="B12" s="315">
        <f>'FUSION GSF BY LOCATION'!H52</f>
        <v>237704</v>
      </c>
      <c r="C12" s="315">
        <v>156249</v>
      </c>
      <c r="D12" s="315"/>
      <c r="E12" s="320">
        <v>23673.54</v>
      </c>
      <c r="F12" s="321" t="s">
        <v>644</v>
      </c>
      <c r="G12" s="322">
        <f>+E12/B12</f>
        <v>9.9592518426278059E-2</v>
      </c>
      <c r="H12" s="323">
        <f>+E12/C12</f>
        <v>0.15151162567440432</v>
      </c>
      <c r="I12" s="318"/>
      <c r="J12" s="320">
        <v>498853.09</v>
      </c>
      <c r="K12" s="321" t="s">
        <v>650</v>
      </c>
      <c r="L12" s="322">
        <f>+J12/B12</f>
        <v>2.0986314491973213</v>
      </c>
      <c r="M12" s="323">
        <f>+J12/C12</f>
        <v>3.1926802091533388</v>
      </c>
      <c r="N12" s="318"/>
      <c r="O12" s="320">
        <v>75673.27</v>
      </c>
      <c r="P12" s="321" t="s">
        <v>653</v>
      </c>
      <c r="Q12" s="203">
        <f>+O12/B12</f>
        <v>0.3183508481136203</v>
      </c>
      <c r="R12" s="202">
        <f>+O12/C12</f>
        <v>0.48431202759697667</v>
      </c>
    </row>
    <row r="13" spans="1:18" ht="15" x14ac:dyDescent="0.25">
      <c r="A13" s="281"/>
      <c r="B13" s="281"/>
      <c r="C13" s="281"/>
      <c r="D13" s="281"/>
      <c r="E13" s="281"/>
      <c r="F13" s="324" t="s">
        <v>657</v>
      </c>
      <c r="G13" s="325">
        <f>(G10+G11+G12)/3</f>
        <v>0.23041883644382524</v>
      </c>
      <c r="H13" s="324"/>
      <c r="I13" s="324"/>
      <c r="J13" s="281"/>
      <c r="K13" s="324" t="s">
        <v>657</v>
      </c>
      <c r="L13" s="325">
        <f>(L10+L11+L12)/3</f>
        <v>1.8805907727827236</v>
      </c>
      <c r="M13" s="281"/>
      <c r="N13" s="324"/>
      <c r="O13" s="299"/>
      <c r="P13" s="324" t="s">
        <v>657</v>
      </c>
      <c r="Q13" s="205">
        <f>(Q10+Q11+Q12)/3</f>
        <v>0.37017401842529402</v>
      </c>
      <c r="R13" s="195"/>
    </row>
    <row r="14" spans="1:18" x14ac:dyDescent="0.2">
      <c r="A14" s="281"/>
      <c r="B14" s="281"/>
      <c r="C14" s="281"/>
      <c r="D14" s="281"/>
      <c r="E14" s="281"/>
      <c r="F14" s="281"/>
      <c r="G14" s="281"/>
      <c r="H14" s="281"/>
      <c r="I14" s="281"/>
      <c r="J14" s="281"/>
      <c r="K14" s="281"/>
      <c r="L14" s="281"/>
      <c r="M14" s="281"/>
      <c r="N14" s="281"/>
      <c r="O14" s="281"/>
      <c r="P14" s="281"/>
    </row>
    <row r="15" spans="1:18" ht="15" x14ac:dyDescent="0.25">
      <c r="A15" s="326" t="s">
        <v>654</v>
      </c>
      <c r="B15" s="324" t="s">
        <v>1054</v>
      </c>
      <c r="C15" s="281"/>
      <c r="D15" s="281"/>
      <c r="E15" s="281"/>
      <c r="F15" s="281"/>
      <c r="G15" s="281"/>
      <c r="H15" s="281"/>
      <c r="I15" s="281"/>
      <c r="J15" s="281"/>
      <c r="K15" s="281"/>
      <c r="L15" s="281"/>
      <c r="M15" s="281"/>
      <c r="N15" s="281"/>
      <c r="O15" s="281"/>
      <c r="P15" s="281"/>
    </row>
    <row r="17" spans="1:13" ht="15" x14ac:dyDescent="0.25">
      <c r="A17" s="204" t="s">
        <v>655</v>
      </c>
      <c r="B17" s="204"/>
      <c r="C17" s="204"/>
      <c r="H17" s="427" t="s">
        <v>658</v>
      </c>
      <c r="I17" s="427"/>
      <c r="J17" s="427"/>
      <c r="K17" s="206" t="s">
        <v>659</v>
      </c>
      <c r="L17" s="427" t="s">
        <v>660</v>
      </c>
      <c r="M17" s="427"/>
    </row>
    <row r="18" spans="1:13" ht="15" x14ac:dyDescent="0.25">
      <c r="A18" s="204" t="s">
        <v>656</v>
      </c>
      <c r="B18" s="204"/>
      <c r="C18" s="204"/>
      <c r="H18" s="432"/>
      <c r="I18" s="432"/>
      <c r="J18" s="432"/>
      <c r="K18" s="1"/>
      <c r="L18" s="428">
        <f>K18*($G$13+$L$13+$Q$13)</f>
        <v>0</v>
      </c>
      <c r="M18" s="428"/>
    </row>
    <row r="19" spans="1:13" x14ac:dyDescent="0.2">
      <c r="H19" s="432"/>
      <c r="I19" s="432"/>
      <c r="J19" s="432"/>
      <c r="K19" s="1"/>
      <c r="L19" s="428">
        <f>K19*($G$13+$L$13+$Q$13)</f>
        <v>0</v>
      </c>
      <c r="M19" s="428"/>
    </row>
    <row r="20" spans="1:13" x14ac:dyDescent="0.2">
      <c r="H20" s="432"/>
      <c r="I20" s="432"/>
      <c r="J20" s="432"/>
      <c r="K20" s="1"/>
      <c r="L20" s="428">
        <f>K20*($G$13+$L$13+$Q$13)</f>
        <v>0</v>
      </c>
      <c r="M20" s="428"/>
    </row>
    <row r="21" spans="1:13" x14ac:dyDescent="0.2">
      <c r="H21" s="432"/>
      <c r="I21" s="432"/>
      <c r="J21" s="432"/>
      <c r="K21" s="1"/>
      <c r="L21" s="428">
        <f>K21*($G$13+$L$13+$Q$13)</f>
        <v>0</v>
      </c>
      <c r="M21" s="428"/>
    </row>
    <row r="22" spans="1:13" x14ac:dyDescent="0.2">
      <c r="H22" s="432"/>
      <c r="I22" s="432"/>
      <c r="J22" s="432"/>
      <c r="K22" s="1"/>
      <c r="L22" s="428">
        <f>K22*($G$13+$L$13+$Q$13)</f>
        <v>0</v>
      </c>
      <c r="M22" s="428"/>
    </row>
    <row r="23" spans="1:13" x14ac:dyDescent="0.2">
      <c r="H23" s="429" t="s">
        <v>0</v>
      </c>
      <c r="I23" s="430"/>
      <c r="J23" s="430"/>
      <c r="K23" s="431"/>
      <c r="L23" s="428">
        <f>SUM(L18:M22)</f>
        <v>0</v>
      </c>
      <c r="M23" s="428"/>
    </row>
  </sheetData>
  <mergeCells count="14">
    <mergeCell ref="H17:J17"/>
    <mergeCell ref="L23:M23"/>
    <mergeCell ref="H23:K23"/>
    <mergeCell ref="L22:M22"/>
    <mergeCell ref="H22:J22"/>
    <mergeCell ref="L17:M17"/>
    <mergeCell ref="H18:J18"/>
    <mergeCell ref="H19:J19"/>
    <mergeCell ref="H20:J20"/>
    <mergeCell ref="H21:J21"/>
    <mergeCell ref="L18:M18"/>
    <mergeCell ref="L19:M19"/>
    <mergeCell ref="L20:M20"/>
    <mergeCell ref="L21:M21"/>
  </mergeCells>
  <pageMargins left="0.7" right="0.7" top="0.75" bottom="0.75" header="0.3" footer="0.3"/>
  <pageSetup scale="65" orientation="landscape" verticalDpi="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X49"/>
  <sheetViews>
    <sheetView workbookViewId="0">
      <selection activeCell="AB28" sqref="AB28"/>
    </sheetView>
  </sheetViews>
  <sheetFormatPr defaultRowHeight="12.75" x14ac:dyDescent="0.2"/>
  <cols>
    <col min="1" max="1" width="1.42578125" customWidth="1"/>
    <col min="2" max="2" width="3.42578125" customWidth="1"/>
    <col min="3" max="3" width="37.5703125" customWidth="1"/>
    <col min="4" max="4" width="1.7109375" customWidth="1"/>
    <col min="5" max="6" width="9.5703125" customWidth="1"/>
    <col min="7" max="7" width="36.42578125" customWidth="1"/>
    <col min="8" max="8" width="2.5703125" customWidth="1"/>
    <col min="9" max="9" width="10.7109375" customWidth="1"/>
    <col min="10" max="11" width="8.7109375" customWidth="1"/>
    <col min="12" max="12" width="1.7109375" customWidth="1"/>
    <col min="13" max="15" width="8.7109375" customWidth="1"/>
    <col min="16" max="16" width="1.7109375" customWidth="1"/>
    <col min="17" max="19" width="8.7109375" customWidth="1"/>
    <col min="22" max="24" width="0" hidden="1" customWidth="1"/>
  </cols>
  <sheetData>
    <row r="1" spans="2:19" s="4" customFormat="1" ht="14.25" x14ac:dyDescent="0.2">
      <c r="B1" s="433" t="s">
        <v>35</v>
      </c>
      <c r="C1" s="433"/>
      <c r="D1" s="433"/>
      <c r="E1" s="433"/>
      <c r="F1" s="433"/>
      <c r="G1" s="433"/>
      <c r="H1" s="433"/>
      <c r="I1" s="433"/>
      <c r="J1" s="433"/>
      <c r="K1" s="433"/>
      <c r="L1" s="433"/>
      <c r="M1" s="433"/>
      <c r="N1" s="433"/>
      <c r="O1" s="433"/>
      <c r="P1" s="433"/>
      <c r="Q1" s="433"/>
      <c r="R1" s="433"/>
      <c r="S1" s="433"/>
    </row>
    <row r="2" spans="2:19" s="4" customFormat="1" ht="14.25" x14ac:dyDescent="0.2">
      <c r="B2" s="433" t="s">
        <v>36</v>
      </c>
      <c r="C2" s="433"/>
      <c r="D2" s="433"/>
      <c r="E2" s="433"/>
      <c r="F2" s="433"/>
      <c r="G2" s="433"/>
      <c r="H2" s="433"/>
      <c r="I2" s="433"/>
      <c r="J2" s="433"/>
      <c r="K2" s="433"/>
      <c r="L2" s="433"/>
      <c r="M2" s="433"/>
      <c r="N2" s="433"/>
      <c r="O2" s="433"/>
      <c r="P2" s="433"/>
      <c r="Q2" s="433"/>
      <c r="R2" s="433"/>
      <c r="S2" s="433"/>
    </row>
    <row r="3" spans="2:19" s="4" customFormat="1" ht="15" thickBot="1" x14ac:dyDescent="0.25">
      <c r="B3" s="434" t="s">
        <v>37</v>
      </c>
      <c r="C3" s="434"/>
      <c r="D3" s="434"/>
      <c r="E3" s="434"/>
      <c r="F3" s="434"/>
      <c r="G3" s="434"/>
      <c r="H3" s="434"/>
      <c r="I3" s="434"/>
      <c r="J3" s="434"/>
      <c r="K3" s="434"/>
      <c r="L3" s="434"/>
      <c r="M3" s="434"/>
      <c r="N3" s="434"/>
      <c r="O3" s="434"/>
      <c r="P3" s="434"/>
      <c r="Q3" s="434"/>
      <c r="R3" s="434"/>
      <c r="S3" s="434"/>
    </row>
    <row r="4" spans="2:19" s="4" customFormat="1" x14ac:dyDescent="0.2">
      <c r="H4" s="5"/>
      <c r="I4" s="435" t="s">
        <v>38</v>
      </c>
      <c r="J4" s="435"/>
      <c r="K4" s="435"/>
      <c r="L4" s="5"/>
      <c r="M4" s="436" t="s">
        <v>39</v>
      </c>
      <c r="N4" s="437"/>
      <c r="O4" s="437"/>
      <c r="P4" s="5"/>
      <c r="Q4" s="436" t="s">
        <v>40</v>
      </c>
      <c r="R4" s="437"/>
      <c r="S4" s="437"/>
    </row>
    <row r="5" spans="2:19" s="4" customFormat="1" x14ac:dyDescent="0.2">
      <c r="H5" s="5"/>
      <c r="I5" s="438" t="s">
        <v>41</v>
      </c>
      <c r="J5" s="438"/>
      <c r="K5" s="438"/>
      <c r="L5" s="7"/>
      <c r="M5" s="438" t="s">
        <v>42</v>
      </c>
      <c r="N5" s="438"/>
      <c r="O5" s="438"/>
      <c r="P5" s="7"/>
      <c r="Q5" s="438" t="s">
        <v>43</v>
      </c>
      <c r="R5" s="438"/>
      <c r="S5" s="438"/>
    </row>
    <row r="6" spans="2:19" s="4" customFormat="1" x14ac:dyDescent="0.2">
      <c r="B6" s="8" t="s">
        <v>44</v>
      </c>
      <c r="C6" s="8"/>
      <c r="D6" s="9"/>
      <c r="E6" s="438" t="s">
        <v>37</v>
      </c>
      <c r="F6" s="438"/>
      <c r="G6" s="438"/>
      <c r="H6" s="9"/>
      <c r="I6" s="6" t="s">
        <v>45</v>
      </c>
      <c r="J6" s="10" t="s">
        <v>46</v>
      </c>
      <c r="K6" s="6" t="s">
        <v>47</v>
      </c>
      <c r="L6" s="9"/>
      <c r="M6" s="6" t="s">
        <v>45</v>
      </c>
      <c r="N6" s="10" t="s">
        <v>46</v>
      </c>
      <c r="O6" s="6" t="s">
        <v>47</v>
      </c>
      <c r="P6" s="9"/>
      <c r="Q6" s="10" t="s">
        <v>45</v>
      </c>
      <c r="R6" s="10" t="s">
        <v>46</v>
      </c>
      <c r="S6" s="10" t="s">
        <v>47</v>
      </c>
    </row>
    <row r="7" spans="2:19" s="4" customFormat="1" x14ac:dyDescent="0.2">
      <c r="B7" s="11" t="s">
        <v>48</v>
      </c>
      <c r="C7" s="12"/>
      <c r="D7" s="12"/>
      <c r="E7" s="12"/>
      <c r="F7" s="12"/>
      <c r="G7" s="12"/>
      <c r="H7" s="12"/>
      <c r="I7" s="12"/>
      <c r="J7" s="12"/>
      <c r="K7" s="13"/>
      <c r="L7" s="12"/>
      <c r="M7" s="12"/>
      <c r="N7" s="12"/>
      <c r="O7" s="12"/>
      <c r="P7" s="12"/>
      <c r="Q7" s="12"/>
      <c r="R7" s="12"/>
      <c r="S7" s="12"/>
    </row>
    <row r="8" spans="2:19" s="4" customFormat="1" x14ac:dyDescent="0.2">
      <c r="B8" s="14"/>
      <c r="C8" s="14" t="s">
        <v>49</v>
      </c>
      <c r="D8" s="12"/>
      <c r="E8" s="439" t="s">
        <v>50</v>
      </c>
      <c r="F8" s="439"/>
      <c r="G8" s="439"/>
      <c r="H8" s="12"/>
      <c r="I8" s="15">
        <v>0</v>
      </c>
      <c r="J8" s="16">
        <v>1</v>
      </c>
      <c r="K8" s="17">
        <f t="shared" ref="K8:K34" si="0">I8-J8</f>
        <v>-1</v>
      </c>
      <c r="L8" s="12"/>
      <c r="M8" s="18">
        <v>1</v>
      </c>
      <c r="N8" s="16">
        <v>1</v>
      </c>
      <c r="O8" s="19">
        <f>M8-N8</f>
        <v>0</v>
      </c>
      <c r="P8" s="12"/>
      <c r="Q8" s="18">
        <v>1</v>
      </c>
      <c r="R8" s="16">
        <v>1</v>
      </c>
      <c r="S8" s="19">
        <f>Q8-R8</f>
        <v>0</v>
      </c>
    </row>
    <row r="9" spans="2:19" s="4" customFormat="1" x14ac:dyDescent="0.2">
      <c r="B9" s="20"/>
      <c r="C9" s="20" t="s">
        <v>51</v>
      </c>
      <c r="D9" s="12"/>
      <c r="E9" s="440" t="s">
        <v>52</v>
      </c>
      <c r="F9" s="440"/>
      <c r="G9" s="440"/>
      <c r="H9" s="12"/>
      <c r="I9" s="21">
        <v>1</v>
      </c>
      <c r="J9" s="22">
        <v>1</v>
      </c>
      <c r="K9" s="23">
        <f t="shared" si="0"/>
        <v>0</v>
      </c>
      <c r="L9" s="12"/>
      <c r="M9" s="21">
        <v>0</v>
      </c>
      <c r="N9" s="22">
        <v>0</v>
      </c>
      <c r="O9" s="23">
        <f t="shared" ref="O9:O34" si="1">M9-N9</f>
        <v>0</v>
      </c>
      <c r="P9" s="12"/>
      <c r="Q9" s="21">
        <v>0</v>
      </c>
      <c r="R9" s="22">
        <v>0</v>
      </c>
      <c r="S9" s="23">
        <f t="shared" ref="S9:S34" si="2">Q9-R9</f>
        <v>0</v>
      </c>
    </row>
    <row r="10" spans="2:19" s="4" customFormat="1" x14ac:dyDescent="0.2">
      <c r="B10" s="20"/>
      <c r="C10" s="20" t="s">
        <v>53</v>
      </c>
      <c r="D10" s="12"/>
      <c r="E10" s="440" t="s">
        <v>54</v>
      </c>
      <c r="F10" s="440"/>
      <c r="G10" s="440"/>
      <c r="H10" s="12"/>
      <c r="I10" s="24">
        <v>0</v>
      </c>
      <c r="J10" s="22">
        <v>1</v>
      </c>
      <c r="K10" s="25">
        <f t="shared" si="0"/>
        <v>-1</v>
      </c>
      <c r="L10" s="12"/>
      <c r="M10" s="21">
        <v>0</v>
      </c>
      <c r="N10" s="22">
        <v>0</v>
      </c>
      <c r="O10" s="23">
        <v>0</v>
      </c>
      <c r="P10" s="12"/>
      <c r="Q10" s="21">
        <v>0</v>
      </c>
      <c r="R10" s="22">
        <v>0</v>
      </c>
      <c r="S10" s="23">
        <v>0</v>
      </c>
    </row>
    <row r="11" spans="2:19" s="4" customFormat="1" x14ac:dyDescent="0.2">
      <c r="B11" s="20"/>
      <c r="C11" s="20" t="s">
        <v>55</v>
      </c>
      <c r="D11" s="12"/>
      <c r="E11" s="440" t="s">
        <v>50</v>
      </c>
      <c r="F11" s="440"/>
      <c r="G11" s="440"/>
      <c r="H11" s="12"/>
      <c r="I11" s="21">
        <v>1</v>
      </c>
      <c r="J11" s="22">
        <v>1</v>
      </c>
      <c r="K11" s="23">
        <f t="shared" si="0"/>
        <v>0</v>
      </c>
      <c r="L11" s="12"/>
      <c r="M11" s="21">
        <v>0</v>
      </c>
      <c r="N11" s="21">
        <v>1</v>
      </c>
      <c r="O11" s="26">
        <f t="shared" si="1"/>
        <v>-1</v>
      </c>
      <c r="P11" s="12"/>
      <c r="Q11" s="21">
        <v>0</v>
      </c>
      <c r="R11" s="22">
        <v>1</v>
      </c>
      <c r="S11" s="25">
        <f t="shared" si="2"/>
        <v>-1</v>
      </c>
    </row>
    <row r="12" spans="2:19" s="4" customFormat="1" x14ac:dyDescent="0.2">
      <c r="B12" s="20"/>
      <c r="C12" s="20" t="s">
        <v>56</v>
      </c>
      <c r="D12" s="12"/>
      <c r="E12" s="440" t="s">
        <v>57</v>
      </c>
      <c r="F12" s="440"/>
      <c r="G12" s="440"/>
      <c r="H12" s="12"/>
      <c r="I12" s="24">
        <v>0</v>
      </c>
      <c r="J12" s="22">
        <v>1</v>
      </c>
      <c r="K12" s="25">
        <f t="shared" si="0"/>
        <v>-1</v>
      </c>
      <c r="L12" s="12"/>
      <c r="M12" s="21">
        <v>0</v>
      </c>
      <c r="N12" s="21">
        <v>0</v>
      </c>
      <c r="O12" s="27">
        <f t="shared" si="1"/>
        <v>0</v>
      </c>
      <c r="P12" s="12"/>
      <c r="Q12" s="21">
        <v>0</v>
      </c>
      <c r="R12" s="22">
        <v>0</v>
      </c>
      <c r="S12" s="23">
        <f t="shared" si="2"/>
        <v>0</v>
      </c>
    </row>
    <row r="13" spans="2:19" s="4" customFormat="1" x14ac:dyDescent="0.2">
      <c r="B13" s="20"/>
      <c r="C13" s="20" t="s">
        <v>58</v>
      </c>
      <c r="D13" s="12"/>
      <c r="E13" s="440" t="s">
        <v>59</v>
      </c>
      <c r="F13" s="440"/>
      <c r="G13" s="440"/>
      <c r="H13" s="12"/>
      <c r="I13" s="21">
        <v>1</v>
      </c>
      <c r="J13" s="22">
        <v>1</v>
      </c>
      <c r="K13" s="23">
        <f t="shared" si="0"/>
        <v>0</v>
      </c>
      <c r="L13" s="12"/>
      <c r="M13" s="21">
        <v>0</v>
      </c>
      <c r="N13" s="21">
        <v>0</v>
      </c>
      <c r="O13" s="27">
        <f t="shared" si="1"/>
        <v>0</v>
      </c>
      <c r="P13" s="12"/>
      <c r="Q13" s="21">
        <v>0</v>
      </c>
      <c r="R13" s="22">
        <v>0</v>
      </c>
      <c r="S13" s="23">
        <f t="shared" si="2"/>
        <v>0</v>
      </c>
    </row>
    <row r="14" spans="2:19" s="4" customFormat="1" x14ac:dyDescent="0.2">
      <c r="B14" s="20"/>
      <c r="C14" s="20" t="s">
        <v>60</v>
      </c>
      <c r="D14" s="12"/>
      <c r="E14" s="440" t="s">
        <v>50</v>
      </c>
      <c r="F14" s="440"/>
      <c r="G14" s="440"/>
      <c r="H14" s="12"/>
      <c r="I14" s="21">
        <v>1</v>
      </c>
      <c r="J14" s="22">
        <v>1</v>
      </c>
      <c r="K14" s="23">
        <f t="shared" si="0"/>
        <v>0</v>
      </c>
      <c r="L14" s="12"/>
      <c r="M14" s="21">
        <v>0</v>
      </c>
      <c r="N14" s="21">
        <v>1</v>
      </c>
      <c r="O14" s="28">
        <f t="shared" si="1"/>
        <v>-1</v>
      </c>
      <c r="P14" s="12"/>
      <c r="Q14" s="21">
        <v>1</v>
      </c>
      <c r="R14" s="22">
        <v>1</v>
      </c>
      <c r="S14" s="23">
        <f t="shared" si="2"/>
        <v>0</v>
      </c>
    </row>
    <row r="15" spans="2:19" s="4" customFormat="1" x14ac:dyDescent="0.2">
      <c r="B15" s="20"/>
      <c r="C15" s="20" t="s">
        <v>61</v>
      </c>
      <c r="D15" s="12"/>
      <c r="E15" s="20" t="s">
        <v>52</v>
      </c>
      <c r="F15" s="20"/>
      <c r="G15" s="20"/>
      <c r="H15" s="12"/>
      <c r="I15" s="21">
        <v>1</v>
      </c>
      <c r="J15" s="22">
        <v>1</v>
      </c>
      <c r="K15" s="23">
        <f t="shared" si="0"/>
        <v>0</v>
      </c>
      <c r="L15" s="12"/>
      <c r="M15" s="21">
        <v>1</v>
      </c>
      <c r="N15" s="21">
        <v>0</v>
      </c>
      <c r="O15" s="27">
        <f t="shared" si="1"/>
        <v>1</v>
      </c>
      <c r="P15" s="12"/>
      <c r="Q15" s="21">
        <v>0</v>
      </c>
      <c r="R15" s="22">
        <v>0</v>
      </c>
      <c r="S15" s="23">
        <f t="shared" si="2"/>
        <v>0</v>
      </c>
    </row>
    <row r="16" spans="2:19" s="4" customFormat="1" x14ac:dyDescent="0.2">
      <c r="B16" s="29"/>
      <c r="C16" s="5"/>
      <c r="D16" s="5"/>
      <c r="E16" s="5"/>
      <c r="F16" s="5"/>
      <c r="G16" s="5"/>
      <c r="H16" s="5"/>
      <c r="I16" s="30"/>
      <c r="J16" s="31"/>
      <c r="K16" s="32"/>
      <c r="L16" s="5"/>
      <c r="M16" s="30"/>
      <c r="N16" s="31"/>
      <c r="O16" s="32"/>
      <c r="P16" s="5"/>
      <c r="Q16" s="30"/>
      <c r="R16" s="31"/>
      <c r="S16" s="32"/>
    </row>
    <row r="17" spans="1:19" s="4" customFormat="1" x14ac:dyDescent="0.2">
      <c r="B17" s="33" t="s">
        <v>62</v>
      </c>
      <c r="C17" s="5"/>
      <c r="D17" s="5"/>
      <c r="E17" s="5"/>
      <c r="F17" s="5"/>
      <c r="G17" s="5"/>
      <c r="H17" s="5"/>
      <c r="I17" s="34"/>
      <c r="J17" s="35"/>
      <c r="K17" s="32"/>
      <c r="L17" s="5"/>
      <c r="M17" s="34"/>
      <c r="N17" s="35"/>
      <c r="O17" s="32"/>
      <c r="P17" s="5"/>
      <c r="Q17" s="34"/>
      <c r="R17" s="35"/>
      <c r="S17" s="32"/>
    </row>
    <row r="18" spans="1:19" s="4" customFormat="1" x14ac:dyDescent="0.2">
      <c r="A18" s="5"/>
      <c r="B18" s="36"/>
      <c r="C18" s="36" t="s">
        <v>63</v>
      </c>
      <c r="D18" s="36"/>
      <c r="E18" s="441" t="s">
        <v>50</v>
      </c>
      <c r="F18" s="441"/>
      <c r="G18" s="441"/>
      <c r="H18" s="36"/>
      <c r="I18" s="18">
        <v>1</v>
      </c>
      <c r="J18" s="37">
        <v>1</v>
      </c>
      <c r="K18" s="38">
        <f t="shared" si="0"/>
        <v>0</v>
      </c>
      <c r="L18" s="5"/>
      <c r="M18" s="18">
        <v>0</v>
      </c>
      <c r="N18" s="37">
        <v>1</v>
      </c>
      <c r="O18" s="39">
        <f t="shared" si="1"/>
        <v>-1</v>
      </c>
      <c r="P18" s="5"/>
      <c r="Q18" s="18">
        <v>1</v>
      </c>
      <c r="R18" s="37">
        <v>1</v>
      </c>
      <c r="S18" s="39">
        <f t="shared" si="2"/>
        <v>0</v>
      </c>
    </row>
    <row r="19" spans="1:19" s="4" customFormat="1" x14ac:dyDescent="0.2">
      <c r="A19" s="5"/>
      <c r="B19" s="40"/>
      <c r="C19" s="40" t="s">
        <v>64</v>
      </c>
      <c r="D19" s="40"/>
      <c r="E19" s="40" t="s">
        <v>65</v>
      </c>
      <c r="F19" s="40"/>
      <c r="G19" s="40"/>
      <c r="H19" s="40"/>
      <c r="I19" s="24">
        <v>0</v>
      </c>
      <c r="J19" s="41">
        <v>2</v>
      </c>
      <c r="K19" s="42">
        <f t="shared" si="0"/>
        <v>-2</v>
      </c>
      <c r="L19" s="5"/>
      <c r="M19" s="21">
        <v>0</v>
      </c>
      <c r="N19" s="41">
        <v>1</v>
      </c>
      <c r="O19" s="39">
        <f t="shared" si="1"/>
        <v>-1</v>
      </c>
      <c r="P19" s="5"/>
      <c r="Q19" s="21">
        <v>0</v>
      </c>
      <c r="R19" s="41">
        <v>1</v>
      </c>
      <c r="S19" s="42">
        <f t="shared" si="2"/>
        <v>-1</v>
      </c>
    </row>
    <row r="20" spans="1:19" s="4" customFormat="1" x14ac:dyDescent="0.2">
      <c r="A20" s="5"/>
      <c r="B20" s="40"/>
      <c r="C20" s="40" t="s">
        <v>66</v>
      </c>
      <c r="D20" s="40"/>
      <c r="E20" s="40" t="s">
        <v>67</v>
      </c>
      <c r="F20" s="40"/>
      <c r="G20" s="40"/>
      <c r="H20" s="29"/>
      <c r="I20" s="21">
        <v>1</v>
      </c>
      <c r="J20" s="41">
        <f>I40/500000</f>
        <v>2.0336259999999999</v>
      </c>
      <c r="K20" s="42">
        <f t="shared" si="0"/>
        <v>-1.0336259999999999</v>
      </c>
      <c r="L20" s="5"/>
      <c r="M20" s="21">
        <v>1</v>
      </c>
      <c r="N20" s="41">
        <v>0</v>
      </c>
      <c r="O20" s="43">
        <f t="shared" si="1"/>
        <v>1</v>
      </c>
      <c r="P20" s="5"/>
      <c r="Q20" s="21">
        <v>0</v>
      </c>
      <c r="R20" s="41">
        <v>0</v>
      </c>
      <c r="S20" s="43">
        <f t="shared" si="2"/>
        <v>0</v>
      </c>
    </row>
    <row r="21" spans="1:19" s="4" customFormat="1" x14ac:dyDescent="0.2">
      <c r="A21" s="5"/>
      <c r="B21" s="5"/>
      <c r="C21" s="5"/>
      <c r="D21" s="5"/>
      <c r="E21" s="5"/>
      <c r="F21" s="5"/>
      <c r="G21" s="5"/>
      <c r="H21" s="5"/>
      <c r="I21" s="34"/>
      <c r="J21" s="35"/>
      <c r="K21" s="32"/>
      <c r="L21" s="5"/>
      <c r="M21" s="34"/>
      <c r="N21" s="35"/>
      <c r="O21" s="32"/>
      <c r="P21" s="5"/>
      <c r="Q21" s="34"/>
      <c r="R21" s="35"/>
      <c r="S21" s="32"/>
    </row>
    <row r="22" spans="1:19" s="4" customFormat="1" x14ac:dyDescent="0.2">
      <c r="A22" s="5"/>
      <c r="B22" s="33" t="s">
        <v>68</v>
      </c>
      <c r="C22" s="5"/>
      <c r="D22" s="5"/>
      <c r="E22" s="5"/>
      <c r="F22" s="5"/>
      <c r="G22" s="5"/>
      <c r="H22" s="5"/>
      <c r="I22" s="34"/>
      <c r="J22" s="35"/>
      <c r="K22" s="32"/>
      <c r="L22" s="5"/>
      <c r="M22" s="34"/>
      <c r="N22" s="35"/>
      <c r="O22" s="32"/>
      <c r="P22" s="5"/>
      <c r="Q22" s="34"/>
      <c r="R22" s="35"/>
      <c r="S22" s="32"/>
    </row>
    <row r="23" spans="1:19" s="4" customFormat="1" x14ac:dyDescent="0.2">
      <c r="A23" s="5"/>
      <c r="B23" s="36"/>
      <c r="C23" s="36" t="s">
        <v>69</v>
      </c>
      <c r="D23" s="36"/>
      <c r="E23" s="44" t="s">
        <v>70</v>
      </c>
      <c r="F23" s="45"/>
      <c r="G23" s="36"/>
      <c r="H23" s="36"/>
      <c r="I23" s="18">
        <v>26</v>
      </c>
      <c r="J23" s="37">
        <f>(I40/23500)+3</f>
        <v>46.268638297872343</v>
      </c>
      <c r="K23" s="46">
        <f t="shared" si="0"/>
        <v>-20.268638297872343</v>
      </c>
      <c r="L23" s="5"/>
      <c r="M23" s="18">
        <v>8</v>
      </c>
      <c r="N23" s="37">
        <f>M40/23500</f>
        <v>9.9652340425531918</v>
      </c>
      <c r="O23" s="39">
        <f t="shared" si="1"/>
        <v>-1.9652340425531918</v>
      </c>
      <c r="P23" s="5"/>
      <c r="Q23" s="18">
        <v>8.5</v>
      </c>
      <c r="R23" s="37">
        <f>Q40/23500</f>
        <v>9.9309361702127656</v>
      </c>
      <c r="S23" s="39">
        <f t="shared" si="2"/>
        <v>-1.4309361702127656</v>
      </c>
    </row>
    <row r="24" spans="1:19" s="4" customFormat="1" x14ac:dyDescent="0.2">
      <c r="A24" s="5"/>
      <c r="B24" s="29"/>
      <c r="C24" s="29"/>
      <c r="D24" s="29"/>
      <c r="E24" s="5"/>
      <c r="F24" s="5"/>
      <c r="G24" s="29"/>
      <c r="H24" s="29"/>
      <c r="I24" s="47"/>
      <c r="J24" s="48"/>
      <c r="K24" s="49"/>
      <c r="L24" s="5"/>
      <c r="M24" s="30"/>
      <c r="N24" s="31"/>
      <c r="O24" s="32"/>
      <c r="P24" s="5"/>
      <c r="Q24" s="30"/>
      <c r="R24" s="31"/>
      <c r="S24" s="32"/>
    </row>
    <row r="25" spans="1:19" s="4" customFormat="1" x14ac:dyDescent="0.2">
      <c r="A25" s="5"/>
      <c r="B25" s="33" t="s">
        <v>71</v>
      </c>
      <c r="C25" s="5"/>
      <c r="D25" s="5"/>
      <c r="E25" s="5"/>
      <c r="F25" s="5"/>
      <c r="G25" s="5"/>
      <c r="H25" s="5"/>
      <c r="I25" s="34"/>
      <c r="J25" s="35"/>
      <c r="K25" s="32"/>
      <c r="L25" s="5"/>
      <c r="M25" s="34"/>
      <c r="N25" s="35"/>
      <c r="O25" s="50"/>
      <c r="P25" s="5"/>
      <c r="Q25" s="34"/>
      <c r="R25" s="35"/>
      <c r="S25" s="32"/>
    </row>
    <row r="26" spans="1:19" s="4" customFormat="1" x14ac:dyDescent="0.2">
      <c r="A26" s="5"/>
      <c r="B26" s="36"/>
      <c r="C26" s="36" t="s">
        <v>72</v>
      </c>
      <c r="D26" s="36"/>
      <c r="E26" s="36" t="s">
        <v>73</v>
      </c>
      <c r="F26" s="36"/>
      <c r="G26" s="36"/>
      <c r="H26" s="36"/>
      <c r="I26" s="18">
        <v>9.4</v>
      </c>
      <c r="J26" s="37">
        <f>I41/10</f>
        <v>10.1</v>
      </c>
      <c r="K26" s="46">
        <f t="shared" si="0"/>
        <v>-0.69999999999999929</v>
      </c>
      <c r="L26" s="5"/>
      <c r="M26" s="18">
        <v>3.5</v>
      </c>
      <c r="N26" s="37">
        <f>M41/10</f>
        <v>6</v>
      </c>
      <c r="O26" s="39">
        <f t="shared" si="1"/>
        <v>-2.5</v>
      </c>
      <c r="P26" s="5"/>
      <c r="Q26" s="18">
        <v>1.5</v>
      </c>
      <c r="R26" s="37">
        <f>Q41/10</f>
        <v>5.64</v>
      </c>
      <c r="S26" s="39">
        <f t="shared" si="2"/>
        <v>-4.1399999999999997</v>
      </c>
    </row>
    <row r="27" spans="1:19" s="4" customFormat="1" x14ac:dyDescent="0.2">
      <c r="A27" s="5"/>
      <c r="B27" s="40"/>
      <c r="C27" s="40" t="s">
        <v>72</v>
      </c>
      <c r="D27" s="40"/>
      <c r="E27" s="40" t="s">
        <v>74</v>
      </c>
      <c r="F27" s="40"/>
      <c r="G27" s="40"/>
      <c r="H27" s="40"/>
      <c r="I27" s="51">
        <v>0</v>
      </c>
      <c r="J27" s="52">
        <v>0</v>
      </c>
      <c r="K27" s="43">
        <f t="shared" si="0"/>
        <v>0</v>
      </c>
      <c r="L27" s="5"/>
      <c r="M27" s="51">
        <v>0</v>
      </c>
      <c r="N27" s="52">
        <f>M42/50</f>
        <v>1.32</v>
      </c>
      <c r="O27" s="42">
        <f t="shared" si="1"/>
        <v>-1.32</v>
      </c>
      <c r="P27" s="5"/>
      <c r="Q27" s="51">
        <v>0</v>
      </c>
      <c r="R27" s="52">
        <f>Q42/50</f>
        <v>1.6</v>
      </c>
      <c r="S27" s="42">
        <f t="shared" si="2"/>
        <v>-1.6</v>
      </c>
    </row>
    <row r="28" spans="1:19" s="4" customFormat="1" x14ac:dyDescent="0.2">
      <c r="A28" s="5"/>
      <c r="B28" s="40"/>
      <c r="C28" s="40" t="s">
        <v>75</v>
      </c>
      <c r="D28" s="40"/>
      <c r="E28" s="40" t="s">
        <v>76</v>
      </c>
      <c r="F28" s="40"/>
      <c r="G28" s="40"/>
      <c r="H28" s="40"/>
      <c r="I28" s="51">
        <v>2</v>
      </c>
      <c r="J28" s="52">
        <f>I43/10</f>
        <v>2.7</v>
      </c>
      <c r="K28" s="53">
        <f t="shared" si="0"/>
        <v>-0.70000000000000018</v>
      </c>
      <c r="L28" s="5"/>
      <c r="M28" s="51">
        <v>0</v>
      </c>
      <c r="N28" s="52">
        <f>M43/10</f>
        <v>0.6</v>
      </c>
      <c r="O28" s="42">
        <f t="shared" si="1"/>
        <v>-0.6</v>
      </c>
      <c r="P28" s="5"/>
      <c r="Q28" s="51">
        <v>1</v>
      </c>
      <c r="R28" s="52">
        <f>Q43/10</f>
        <v>1.1000000000000001</v>
      </c>
      <c r="S28" s="42">
        <f t="shared" si="2"/>
        <v>-0.10000000000000009</v>
      </c>
    </row>
    <row r="29" spans="1:19" s="4" customFormat="1" x14ac:dyDescent="0.2">
      <c r="A29" s="5"/>
      <c r="B29" s="40"/>
      <c r="C29" s="40" t="s">
        <v>77</v>
      </c>
      <c r="D29" s="40"/>
      <c r="E29" s="40" t="s">
        <v>78</v>
      </c>
      <c r="F29" s="40"/>
      <c r="G29" s="40"/>
      <c r="H29" s="40"/>
      <c r="I29" s="51">
        <v>0</v>
      </c>
      <c r="J29" s="52">
        <v>2</v>
      </c>
      <c r="K29" s="42">
        <f t="shared" si="0"/>
        <v>-2</v>
      </c>
      <c r="L29" s="5"/>
      <c r="M29" s="51">
        <v>0</v>
      </c>
      <c r="N29" s="52">
        <v>0</v>
      </c>
      <c r="O29" s="43">
        <f t="shared" si="1"/>
        <v>0</v>
      </c>
      <c r="P29" s="5"/>
      <c r="Q29" s="51">
        <v>0</v>
      </c>
      <c r="R29" s="52">
        <v>0</v>
      </c>
      <c r="S29" s="43">
        <f t="shared" si="2"/>
        <v>0</v>
      </c>
    </row>
    <row r="30" spans="1:19" s="4" customFormat="1" x14ac:dyDescent="0.2">
      <c r="A30" s="5"/>
      <c r="B30" s="40"/>
      <c r="C30" s="40" t="s">
        <v>79</v>
      </c>
      <c r="D30" s="40"/>
      <c r="E30" s="40" t="s">
        <v>80</v>
      </c>
      <c r="F30" s="40"/>
      <c r="G30" s="40"/>
      <c r="H30" s="40"/>
      <c r="I30" s="51">
        <v>1</v>
      </c>
      <c r="J30" s="52">
        <v>1</v>
      </c>
      <c r="K30" s="43">
        <f t="shared" si="0"/>
        <v>0</v>
      </c>
      <c r="L30" s="5"/>
      <c r="M30" s="51">
        <v>0</v>
      </c>
      <c r="N30" s="52">
        <v>0</v>
      </c>
      <c r="O30" s="43">
        <v>0</v>
      </c>
      <c r="P30" s="5"/>
      <c r="Q30" s="51">
        <v>0</v>
      </c>
      <c r="R30" s="52">
        <v>0</v>
      </c>
      <c r="S30" s="43">
        <v>0</v>
      </c>
    </row>
    <row r="31" spans="1:19" s="4" customFormat="1" x14ac:dyDescent="0.2">
      <c r="A31" s="5"/>
      <c r="B31" s="29"/>
      <c r="C31" s="29"/>
      <c r="D31" s="29"/>
      <c r="E31" s="29"/>
      <c r="F31" s="29"/>
      <c r="G31" s="29"/>
      <c r="H31" s="29"/>
      <c r="I31" s="47"/>
      <c r="J31" s="48"/>
      <c r="K31" s="49"/>
      <c r="L31" s="5"/>
      <c r="M31" s="30"/>
      <c r="N31" s="31"/>
      <c r="O31" s="32"/>
      <c r="P31" s="5"/>
      <c r="Q31" s="30"/>
      <c r="R31" s="31"/>
      <c r="S31" s="32"/>
    </row>
    <row r="32" spans="1:19" s="4" customFormat="1" x14ac:dyDescent="0.2">
      <c r="A32" s="5"/>
      <c r="B32" s="33" t="s">
        <v>81</v>
      </c>
      <c r="C32" s="5"/>
      <c r="D32" s="5"/>
      <c r="E32" s="5"/>
      <c r="F32" s="5"/>
      <c r="G32" s="5"/>
      <c r="H32" s="5"/>
      <c r="I32" s="30"/>
      <c r="J32" s="31"/>
      <c r="K32" s="32"/>
      <c r="L32" s="5"/>
      <c r="M32" s="30"/>
      <c r="N32" s="31"/>
      <c r="O32" s="32"/>
      <c r="P32" s="5"/>
      <c r="Q32" s="30"/>
      <c r="R32" s="31"/>
      <c r="S32" s="32"/>
    </row>
    <row r="33" spans="1:24" s="4" customFormat="1" x14ac:dyDescent="0.2">
      <c r="A33" s="5"/>
      <c r="B33" s="36"/>
      <c r="C33" s="36" t="s">
        <v>82</v>
      </c>
      <c r="D33" s="36"/>
      <c r="E33" s="44" t="s">
        <v>83</v>
      </c>
      <c r="F33" s="45"/>
      <c r="G33" s="36"/>
      <c r="H33" s="36"/>
      <c r="I33" s="54">
        <v>10</v>
      </c>
      <c r="J33" s="55">
        <f>I40/50000</f>
        <v>20.336259999999999</v>
      </c>
      <c r="K33" s="39">
        <f t="shared" si="0"/>
        <v>-10.336259999999999</v>
      </c>
      <c r="L33" s="5"/>
      <c r="M33" s="54">
        <v>2</v>
      </c>
      <c r="N33" s="55">
        <f>M40/50000</f>
        <v>4.6836599999999997</v>
      </c>
      <c r="O33" s="39">
        <f t="shared" si="1"/>
        <v>-2.6836599999999997</v>
      </c>
      <c r="P33" s="5"/>
      <c r="Q33" s="54">
        <v>3</v>
      </c>
      <c r="R33" s="55">
        <f>Q40/50000</f>
        <v>4.6675399999999998</v>
      </c>
      <c r="S33" s="39">
        <f t="shared" si="2"/>
        <v>-1.6675399999999998</v>
      </c>
    </row>
    <row r="34" spans="1:24" s="4" customFormat="1" x14ac:dyDescent="0.2">
      <c r="A34" s="5"/>
      <c r="B34" s="40"/>
      <c r="C34" s="40" t="s">
        <v>84</v>
      </c>
      <c r="D34" s="40"/>
      <c r="E34" s="36" t="s">
        <v>85</v>
      </c>
      <c r="F34" s="36"/>
      <c r="G34" s="40"/>
      <c r="H34" s="40"/>
      <c r="I34" s="51">
        <v>1</v>
      </c>
      <c r="J34" s="52">
        <v>2</v>
      </c>
      <c r="K34" s="42">
        <f t="shared" si="0"/>
        <v>-1</v>
      </c>
      <c r="L34" s="5"/>
      <c r="M34" s="51">
        <v>0</v>
      </c>
      <c r="N34" s="52">
        <v>2</v>
      </c>
      <c r="O34" s="42">
        <f t="shared" si="1"/>
        <v>-2</v>
      </c>
      <c r="P34" s="5"/>
      <c r="Q34" s="51">
        <v>1</v>
      </c>
      <c r="R34" s="52">
        <v>2</v>
      </c>
      <c r="S34" s="42">
        <f t="shared" si="2"/>
        <v>-1</v>
      </c>
    </row>
    <row r="35" spans="1:24" s="4" customFormat="1" x14ac:dyDescent="0.2">
      <c r="A35" s="5"/>
      <c r="B35" s="29"/>
      <c r="C35" s="29"/>
      <c r="D35" s="29"/>
      <c r="E35" s="29"/>
      <c r="F35" s="29"/>
      <c r="G35" s="29"/>
      <c r="H35" s="29"/>
      <c r="I35" s="51"/>
      <c r="J35" s="52"/>
      <c r="K35" s="56"/>
      <c r="L35" s="5"/>
      <c r="M35" s="54"/>
      <c r="N35" s="55"/>
      <c r="O35" s="57"/>
      <c r="P35" s="5"/>
      <c r="Q35" s="54"/>
      <c r="R35" s="55"/>
      <c r="S35" s="57"/>
    </row>
    <row r="36" spans="1:24" s="4" customFormat="1" x14ac:dyDescent="0.2">
      <c r="A36" s="5"/>
      <c r="B36" s="36"/>
      <c r="C36" s="36"/>
      <c r="D36" s="58"/>
      <c r="E36" s="59"/>
      <c r="F36" s="59"/>
      <c r="G36" s="59" t="s">
        <v>86</v>
      </c>
      <c r="H36" s="58"/>
      <c r="I36" s="60">
        <f>SUM(I8:I35)</f>
        <v>56.4</v>
      </c>
      <c r="J36" s="61">
        <f>SUM(J8:J35)</f>
        <v>97.438524297872334</v>
      </c>
      <c r="K36" s="62">
        <f>SUM(K8:K35)</f>
        <v>-41.038524297872343</v>
      </c>
      <c r="L36" s="7"/>
      <c r="M36" s="60">
        <f>SUM(M8:M35)</f>
        <v>16.5</v>
      </c>
      <c r="N36" s="61">
        <f>SUM(N8:N35)</f>
        <v>29.568894042553193</v>
      </c>
      <c r="O36" s="62">
        <f>SUM(O8:O35)</f>
        <v>-13.068894042553191</v>
      </c>
      <c r="P36" s="7"/>
      <c r="Q36" s="60">
        <f>SUM(Q8:Q35)</f>
        <v>18</v>
      </c>
      <c r="R36" s="61">
        <f>SUM(R8:R35)</f>
        <v>29.938476170212766</v>
      </c>
      <c r="S36" s="62">
        <f>SUM(S8:S35)</f>
        <v>-11.938476170212766</v>
      </c>
    </row>
    <row r="37" spans="1:24" s="4" customFormat="1" x14ac:dyDescent="0.2">
      <c r="B37" s="443" t="s">
        <v>87</v>
      </c>
      <c r="C37" s="443"/>
      <c r="D37" s="5"/>
      <c r="E37" s="5"/>
      <c r="F37" s="5"/>
      <c r="G37" s="5"/>
      <c r="H37" s="5"/>
      <c r="I37" s="5"/>
      <c r="J37" s="5"/>
      <c r="K37" s="63">
        <f>I36/J36</f>
        <v>0.57882650015905002</v>
      </c>
      <c r="L37" s="5"/>
      <c r="M37" s="29"/>
      <c r="N37" s="29"/>
      <c r="O37" s="64">
        <f>M36/N36</f>
        <v>0.55801884156554915</v>
      </c>
      <c r="P37" s="5"/>
      <c r="Q37" s="29"/>
      <c r="R37" s="29"/>
      <c r="S37" s="63">
        <f>Q36/R36</f>
        <v>0.60123300523588663</v>
      </c>
    </row>
    <row r="38" spans="1:24" s="4" customFormat="1" ht="12.75" customHeight="1" x14ac:dyDescent="0.2">
      <c r="B38" s="444" t="s">
        <v>88</v>
      </c>
      <c r="C38" s="447" t="s">
        <v>89</v>
      </c>
      <c r="D38" s="5"/>
      <c r="E38" s="65" t="s">
        <v>90</v>
      </c>
      <c r="F38" s="65"/>
      <c r="G38" s="65"/>
      <c r="H38" s="66"/>
      <c r="I38" s="66"/>
      <c r="J38" s="66"/>
      <c r="K38" s="66"/>
      <c r="L38" s="66"/>
      <c r="M38" s="66"/>
      <c r="N38" s="66"/>
      <c r="O38" s="66"/>
      <c r="P38" s="66"/>
      <c r="Q38" s="66"/>
      <c r="R38" s="66"/>
      <c r="S38" s="66"/>
    </row>
    <row r="39" spans="1:24" s="4" customFormat="1" ht="12.75" customHeight="1" x14ac:dyDescent="0.2">
      <c r="B39" s="445"/>
      <c r="C39" s="448"/>
      <c r="D39" s="5"/>
      <c r="E39" s="67" t="s">
        <v>91</v>
      </c>
      <c r="F39" s="67"/>
      <c r="G39" s="67"/>
      <c r="H39" s="5"/>
      <c r="I39" s="68">
        <v>548029</v>
      </c>
      <c r="J39" s="69"/>
      <c r="K39" s="69"/>
      <c r="L39" s="5"/>
      <c r="M39" s="68">
        <v>151734</v>
      </c>
      <c r="N39" s="69"/>
      <c r="O39" s="69"/>
      <c r="P39" s="5"/>
      <c r="Q39" s="68">
        <v>157822</v>
      </c>
      <c r="R39" s="69"/>
      <c r="S39" s="69"/>
    </row>
    <row r="40" spans="1:24" s="4" customFormat="1" ht="42" customHeight="1" x14ac:dyDescent="0.2">
      <c r="B40" s="446"/>
      <c r="C40" s="449"/>
      <c r="D40" s="5"/>
      <c r="E40" s="36" t="s">
        <v>92</v>
      </c>
      <c r="F40" s="36"/>
      <c r="G40" s="36"/>
      <c r="H40" s="5"/>
      <c r="I40" s="70">
        <f>'FUSION GSF BY LOCATION'!C101</f>
        <v>1016813</v>
      </c>
      <c r="J40" s="69"/>
      <c r="K40" s="69"/>
      <c r="L40" s="5"/>
      <c r="M40" s="70">
        <v>234183</v>
      </c>
      <c r="N40" s="69"/>
      <c r="O40" s="69"/>
      <c r="P40" s="5"/>
      <c r="Q40" s="70">
        <v>233377</v>
      </c>
      <c r="R40" s="69"/>
      <c r="S40" s="69"/>
    </row>
    <row r="41" spans="1:24" s="4" customFormat="1" x14ac:dyDescent="0.2">
      <c r="B41" s="444" t="s">
        <v>93</v>
      </c>
      <c r="C41" s="450" t="s">
        <v>94</v>
      </c>
      <c r="D41" s="5"/>
      <c r="E41" s="40" t="s">
        <v>95</v>
      </c>
      <c r="F41" s="40"/>
      <c r="G41" s="40"/>
      <c r="H41" s="5"/>
      <c r="I41" s="71">
        <v>101</v>
      </c>
      <c r="J41" s="69"/>
      <c r="K41" s="69"/>
      <c r="L41" s="5"/>
      <c r="M41" s="71">
        <v>60</v>
      </c>
      <c r="N41" s="69"/>
      <c r="O41" s="69"/>
      <c r="P41" s="5"/>
      <c r="Q41" s="71">
        <v>56.4</v>
      </c>
      <c r="R41" s="69"/>
      <c r="S41" s="69"/>
      <c r="V41" s="4">
        <v>97076</v>
      </c>
      <c r="W41" s="4">
        <f>V41/$V$44</f>
        <v>0.13790948003369743</v>
      </c>
      <c r="X41" s="4">
        <v>15</v>
      </c>
    </row>
    <row r="42" spans="1:24" s="4" customFormat="1" x14ac:dyDescent="0.2">
      <c r="B42" s="445"/>
      <c r="C42" s="451"/>
      <c r="D42" s="5"/>
      <c r="E42" s="40" t="s">
        <v>96</v>
      </c>
      <c r="F42" s="40"/>
      <c r="G42" s="40"/>
      <c r="H42" s="5"/>
      <c r="I42" s="71">
        <v>0</v>
      </c>
      <c r="J42" s="69"/>
      <c r="K42" s="69"/>
      <c r="L42" s="5"/>
      <c r="M42" s="71">
        <v>66</v>
      </c>
      <c r="N42" s="69"/>
      <c r="O42" s="69"/>
      <c r="P42" s="5"/>
      <c r="Q42" s="71">
        <v>80</v>
      </c>
      <c r="R42" s="69"/>
      <c r="S42" s="69"/>
      <c r="V42" s="4">
        <v>102718</v>
      </c>
      <c r="W42" s="4">
        <f>V42/$V$44</f>
        <v>0.1459246978666337</v>
      </c>
      <c r="X42" s="4">
        <v>15</v>
      </c>
    </row>
    <row r="43" spans="1:24" s="4" customFormat="1" x14ac:dyDescent="0.2">
      <c r="B43" s="446"/>
      <c r="C43" s="452"/>
      <c r="D43" s="5"/>
      <c r="E43" s="40" t="s">
        <v>97</v>
      </c>
      <c r="F43" s="40"/>
      <c r="G43" s="40"/>
      <c r="H43" s="5"/>
      <c r="I43" s="71">
        <v>27</v>
      </c>
      <c r="J43" s="69"/>
      <c r="K43" s="69"/>
      <c r="L43" s="5"/>
      <c r="M43" s="71">
        <v>6</v>
      </c>
      <c r="N43" s="69"/>
      <c r="O43" s="69"/>
      <c r="P43" s="5"/>
      <c r="Q43" s="71">
        <v>11</v>
      </c>
      <c r="R43" s="69"/>
      <c r="S43" s="69"/>
      <c r="V43" s="4">
        <v>504117</v>
      </c>
      <c r="W43" s="4">
        <f>V43/$V$44</f>
        <v>0.71616582209966884</v>
      </c>
      <c r="X43" s="4">
        <v>70</v>
      </c>
    </row>
    <row r="44" spans="1:24" s="4" customFormat="1" ht="13.5" thickBot="1" x14ac:dyDescent="0.25">
      <c r="B44" s="72" t="s">
        <v>98</v>
      </c>
      <c r="C44" s="73" t="s">
        <v>99</v>
      </c>
      <c r="D44" s="5"/>
      <c r="E44" s="74" t="s">
        <v>100</v>
      </c>
      <c r="F44" s="40"/>
      <c r="G44" s="40"/>
      <c r="H44" s="5"/>
      <c r="I44" s="75">
        <f>SUM(I41:I43)</f>
        <v>128</v>
      </c>
      <c r="J44" s="69"/>
      <c r="K44" s="69"/>
      <c r="L44" s="5"/>
      <c r="M44" s="75">
        <v>132</v>
      </c>
      <c r="N44" s="69"/>
      <c r="O44" s="69"/>
      <c r="P44" s="5"/>
      <c r="Q44" s="75">
        <f>SUM(Q41:Q43)</f>
        <v>147.4</v>
      </c>
      <c r="R44" s="69"/>
      <c r="S44" s="69"/>
      <c r="V44" s="76">
        <f>SUM(V41:V43)</f>
        <v>703911</v>
      </c>
      <c r="W44" s="77">
        <f>SUM(W41:W43)</f>
        <v>1</v>
      </c>
    </row>
    <row r="45" spans="1:24" s="4" customFormat="1" ht="26.25" thickTop="1" x14ac:dyDescent="0.2">
      <c r="B45" s="72" t="s">
        <v>101</v>
      </c>
      <c r="C45" s="78" t="s">
        <v>102</v>
      </c>
      <c r="D45" s="5"/>
      <c r="E45" s="5"/>
      <c r="F45" s="5"/>
      <c r="G45" s="5"/>
      <c r="H45" s="5"/>
      <c r="I45" s="5"/>
      <c r="J45" s="5"/>
      <c r="K45" s="5"/>
      <c r="L45" s="5"/>
      <c r="M45" s="29"/>
      <c r="N45" s="5"/>
      <c r="O45" s="5"/>
      <c r="P45" s="5"/>
      <c r="Q45" s="29"/>
      <c r="R45" s="5"/>
      <c r="S45" s="5"/>
    </row>
    <row r="46" spans="1:24" s="4" customFormat="1" x14ac:dyDescent="0.2">
      <c r="B46" s="444" t="s">
        <v>103</v>
      </c>
      <c r="C46" s="450" t="s">
        <v>104</v>
      </c>
      <c r="D46" s="5"/>
      <c r="E46" s="5"/>
      <c r="F46" s="5"/>
      <c r="G46" s="5"/>
      <c r="H46" s="5"/>
      <c r="I46" s="5"/>
      <c r="J46" s="5"/>
      <c r="K46" s="5"/>
      <c r="L46" s="5"/>
      <c r="M46" s="5"/>
      <c r="N46" s="5"/>
      <c r="O46" s="5"/>
      <c r="P46" s="5"/>
      <c r="Q46" s="5"/>
      <c r="R46" s="5"/>
      <c r="S46" s="5"/>
    </row>
    <row r="47" spans="1:24" s="4" customFormat="1" ht="16.5" customHeight="1" x14ac:dyDescent="0.2">
      <c r="B47" s="446"/>
      <c r="C47" s="452"/>
      <c r="D47" s="5"/>
      <c r="E47" s="5"/>
      <c r="F47" s="5"/>
      <c r="G47" s="5"/>
      <c r="H47" s="5"/>
      <c r="I47" s="5"/>
      <c r="J47" s="5"/>
      <c r="K47" s="5"/>
      <c r="L47" s="5"/>
      <c r="M47" s="5"/>
      <c r="N47" s="5"/>
      <c r="O47" s="5"/>
      <c r="P47" s="5"/>
      <c r="Q47" s="5"/>
      <c r="R47" s="5"/>
      <c r="S47" s="5"/>
    </row>
    <row r="48" spans="1:24" s="4" customFormat="1" x14ac:dyDescent="0.2">
      <c r="D48" s="5"/>
      <c r="H48" s="5"/>
      <c r="L48" s="5"/>
      <c r="P48" s="5"/>
      <c r="Q48" s="442"/>
      <c r="R48" s="442"/>
      <c r="S48" s="442"/>
    </row>
    <row r="49" s="4" customFormat="1" x14ac:dyDescent="0.2"/>
  </sheetData>
  <mergeCells count="26">
    <mergeCell ref="E14:G14"/>
    <mergeCell ref="E18:G18"/>
    <mergeCell ref="Q48:S48"/>
    <mergeCell ref="B37:C37"/>
    <mergeCell ref="B38:B40"/>
    <mergeCell ref="C38:C40"/>
    <mergeCell ref="B41:B43"/>
    <mergeCell ref="C41:C43"/>
    <mergeCell ref="B46:B47"/>
    <mergeCell ref="C46:C47"/>
    <mergeCell ref="E9:G9"/>
    <mergeCell ref="E10:G10"/>
    <mergeCell ref="E11:G11"/>
    <mergeCell ref="E12:G12"/>
    <mergeCell ref="E13:G13"/>
    <mergeCell ref="I5:K5"/>
    <mergeCell ref="M5:O5"/>
    <mergeCell ref="Q5:S5"/>
    <mergeCell ref="E6:G6"/>
    <mergeCell ref="E8:G8"/>
    <mergeCell ref="B1:S1"/>
    <mergeCell ref="B2:S2"/>
    <mergeCell ref="B3:S3"/>
    <mergeCell ref="I4:K4"/>
    <mergeCell ref="M4:O4"/>
    <mergeCell ref="Q4:S4"/>
  </mergeCells>
  <pageMargins left="0.25" right="0.25" top="0.5" bottom="0.5" header="0.5" footer="0.5"/>
  <pageSetup scale="73" orientation="landscape" r:id="rId1"/>
  <headerFooter alignWithMargins="0">
    <oddFooter>&amp;R&amp;D&amp;F</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39997558519241921"/>
    <pageSetUpPr fitToPage="1"/>
  </sheetPr>
  <dimension ref="A2:P103"/>
  <sheetViews>
    <sheetView zoomScaleNormal="100" workbookViewId="0">
      <selection activeCell="E71" sqref="E71"/>
    </sheetView>
  </sheetViews>
  <sheetFormatPr defaultRowHeight="12.75" x14ac:dyDescent="0.2"/>
  <cols>
    <col min="1" max="1" width="4.42578125" customWidth="1"/>
    <col min="2" max="2" width="26.28515625" customWidth="1"/>
    <col min="3" max="3" width="10.85546875" customWidth="1"/>
    <col min="4" max="5" width="5.7109375" customWidth="1"/>
    <col min="6" max="6" width="3.42578125" customWidth="1"/>
    <col min="7" max="7" width="22.140625" customWidth="1"/>
    <col min="8" max="8" width="11.28515625" bestFit="1" customWidth="1"/>
    <col min="9" max="9" width="5.7109375" customWidth="1"/>
    <col min="10" max="10" width="3.7109375" customWidth="1"/>
    <col min="11" max="11" width="28.140625" customWidth="1"/>
    <col min="12" max="12" width="10.28515625" customWidth="1"/>
    <col min="13" max="13" width="5.7109375" customWidth="1"/>
    <col min="14" max="14" width="4.85546875" customWidth="1"/>
    <col min="15" max="15" width="17.5703125" customWidth="1"/>
  </cols>
  <sheetData>
    <row r="2" spans="1:16" x14ac:dyDescent="0.2">
      <c r="A2" s="79" t="s">
        <v>1059</v>
      </c>
      <c r="C2" s="80"/>
    </row>
    <row r="3" spans="1:16" x14ac:dyDescent="0.2">
      <c r="C3" s="80"/>
    </row>
    <row r="4" spans="1:16" ht="13.5" thickBot="1" x14ac:dyDescent="0.25">
      <c r="A4" s="453" t="s">
        <v>41</v>
      </c>
      <c r="B4" s="453"/>
      <c r="C4" s="453"/>
      <c r="F4" s="453" t="s">
        <v>42</v>
      </c>
      <c r="G4" s="453"/>
      <c r="H4" s="453"/>
      <c r="J4" s="453" t="s">
        <v>43</v>
      </c>
      <c r="K4" s="453"/>
      <c r="L4" s="453"/>
      <c r="N4" s="453" t="s">
        <v>105</v>
      </c>
      <c r="O4" s="453"/>
      <c r="P4" s="453"/>
    </row>
    <row r="5" spans="1:16" x14ac:dyDescent="0.2">
      <c r="A5" s="81" t="s">
        <v>106</v>
      </c>
      <c r="B5" s="81" t="s">
        <v>107</v>
      </c>
      <c r="C5" s="82" t="s">
        <v>108</v>
      </c>
      <c r="F5" s="81" t="s">
        <v>106</v>
      </c>
      <c r="G5" s="81" t="s">
        <v>107</v>
      </c>
      <c r="H5" s="82" t="s">
        <v>108</v>
      </c>
      <c r="J5" s="81" t="s">
        <v>106</v>
      </c>
      <c r="K5" s="81" t="s">
        <v>107</v>
      </c>
      <c r="L5" s="82" t="s">
        <v>108</v>
      </c>
      <c r="N5" s="81" t="s">
        <v>106</v>
      </c>
      <c r="O5" s="81" t="s">
        <v>107</v>
      </c>
      <c r="P5" s="82" t="s">
        <v>108</v>
      </c>
    </row>
    <row r="6" spans="1:16" ht="12.75" customHeight="1" x14ac:dyDescent="0.2">
      <c r="A6" s="83">
        <v>1</v>
      </c>
      <c r="B6" s="83" t="s">
        <v>970</v>
      </c>
      <c r="C6" s="84">
        <v>81246</v>
      </c>
      <c r="F6" s="83">
        <v>1</v>
      </c>
      <c r="G6" s="83" t="s">
        <v>109</v>
      </c>
      <c r="H6" s="84">
        <v>24369</v>
      </c>
      <c r="J6" s="83">
        <v>1</v>
      </c>
      <c r="K6" s="85" t="s">
        <v>905</v>
      </c>
      <c r="L6" s="84">
        <v>14357</v>
      </c>
      <c r="N6" s="83">
        <v>2</v>
      </c>
      <c r="O6" s="85" t="s">
        <v>111</v>
      </c>
      <c r="P6" s="345">
        <v>16000</v>
      </c>
    </row>
    <row r="7" spans="1:16" ht="12.75" customHeight="1" x14ac:dyDescent="0.2">
      <c r="A7" s="83">
        <v>2</v>
      </c>
      <c r="B7" s="83" t="s">
        <v>971</v>
      </c>
      <c r="C7" s="84">
        <v>8910</v>
      </c>
      <c r="F7" s="83">
        <v>2</v>
      </c>
      <c r="G7" s="83" t="s">
        <v>110</v>
      </c>
      <c r="H7" s="84">
        <v>16218</v>
      </c>
      <c r="J7" s="83">
        <v>2</v>
      </c>
      <c r="K7" s="85" t="s">
        <v>910</v>
      </c>
      <c r="L7" s="84">
        <v>14588</v>
      </c>
      <c r="N7" s="83">
        <v>9</v>
      </c>
      <c r="O7" s="85" t="s">
        <v>112</v>
      </c>
      <c r="P7" s="345">
        <v>864</v>
      </c>
    </row>
    <row r="8" spans="1:16" ht="12.75" customHeight="1" x14ac:dyDescent="0.2">
      <c r="A8" s="83">
        <v>3</v>
      </c>
      <c r="B8" s="83" t="s">
        <v>972</v>
      </c>
      <c r="C8" s="84">
        <v>33105</v>
      </c>
      <c r="F8" s="83">
        <v>3</v>
      </c>
      <c r="G8" s="83" t="s">
        <v>113</v>
      </c>
      <c r="H8" s="84">
        <v>14888</v>
      </c>
      <c r="J8" s="83">
        <v>3</v>
      </c>
      <c r="K8" s="85" t="s">
        <v>911</v>
      </c>
      <c r="L8" s="84">
        <v>9277</v>
      </c>
      <c r="N8" s="83">
        <v>11</v>
      </c>
      <c r="O8" s="85" t="s">
        <v>114</v>
      </c>
      <c r="P8" s="345">
        <v>7100</v>
      </c>
    </row>
    <row r="9" spans="1:16" ht="12.75" customHeight="1" x14ac:dyDescent="0.2">
      <c r="A9" s="83">
        <v>4</v>
      </c>
      <c r="B9" s="83" t="s">
        <v>973</v>
      </c>
      <c r="C9" s="84">
        <v>7500</v>
      </c>
      <c r="F9" s="83">
        <v>4</v>
      </c>
      <c r="G9" s="83" t="s">
        <v>115</v>
      </c>
      <c r="H9" s="86">
        <v>4321</v>
      </c>
      <c r="J9" s="83">
        <v>4</v>
      </c>
      <c r="K9" s="85" t="s">
        <v>912</v>
      </c>
      <c r="L9" s="84">
        <v>14496</v>
      </c>
      <c r="N9" s="83">
        <v>25</v>
      </c>
      <c r="O9" s="85" t="s">
        <v>117</v>
      </c>
      <c r="P9" s="345">
        <v>3100</v>
      </c>
    </row>
    <row r="10" spans="1:16" ht="12.75" customHeight="1" x14ac:dyDescent="0.2">
      <c r="A10" s="83">
        <v>5</v>
      </c>
      <c r="B10" s="83" t="s">
        <v>974</v>
      </c>
      <c r="C10" s="84">
        <v>1770</v>
      </c>
      <c r="F10" s="83">
        <v>5</v>
      </c>
      <c r="G10" s="83" t="s">
        <v>118</v>
      </c>
      <c r="H10" s="84">
        <v>1569</v>
      </c>
      <c r="J10" s="83">
        <v>5</v>
      </c>
      <c r="K10" s="85" t="s">
        <v>913</v>
      </c>
      <c r="L10" s="84">
        <v>2785</v>
      </c>
      <c r="N10" s="83">
        <v>40</v>
      </c>
      <c r="O10" s="85" t="s">
        <v>966</v>
      </c>
      <c r="P10" s="345">
        <v>480</v>
      </c>
    </row>
    <row r="11" spans="1:16" ht="12.75" customHeight="1" x14ac:dyDescent="0.2">
      <c r="A11" s="83">
        <v>6</v>
      </c>
      <c r="B11" s="83" t="s">
        <v>975</v>
      </c>
      <c r="C11" s="84">
        <v>16830</v>
      </c>
      <c r="F11" s="83">
        <v>6</v>
      </c>
      <c r="G11" s="83" t="s">
        <v>116</v>
      </c>
      <c r="H11" s="84">
        <v>53190</v>
      </c>
      <c r="J11" s="83">
        <v>6</v>
      </c>
      <c r="K11" s="85" t="s">
        <v>914</v>
      </c>
      <c r="L11" s="84">
        <v>1518</v>
      </c>
      <c r="N11" s="83">
        <v>130</v>
      </c>
      <c r="O11" s="85" t="s">
        <v>119</v>
      </c>
      <c r="P11" s="345">
        <v>2027</v>
      </c>
    </row>
    <row r="12" spans="1:16" ht="12.75" customHeight="1" x14ac:dyDescent="0.2">
      <c r="A12" s="83">
        <v>7</v>
      </c>
      <c r="B12" s="83" t="s">
        <v>976</v>
      </c>
      <c r="C12" s="84">
        <v>20562</v>
      </c>
      <c r="F12" s="83">
        <v>7</v>
      </c>
      <c r="G12" s="83" t="s">
        <v>121</v>
      </c>
      <c r="H12" s="84">
        <v>1569</v>
      </c>
      <c r="J12" s="83">
        <v>7</v>
      </c>
      <c r="K12" s="85" t="s">
        <v>915</v>
      </c>
      <c r="L12" s="84">
        <v>996</v>
      </c>
      <c r="N12" s="83">
        <v>131</v>
      </c>
      <c r="O12" s="85" t="s">
        <v>120</v>
      </c>
      <c r="P12" s="345">
        <v>3864</v>
      </c>
    </row>
    <row r="13" spans="1:16" ht="12.75" customHeight="1" x14ac:dyDescent="0.2">
      <c r="A13" s="83">
        <v>10</v>
      </c>
      <c r="B13" s="83" t="s">
        <v>977</v>
      </c>
      <c r="C13" s="84">
        <v>7554</v>
      </c>
      <c r="F13" s="83">
        <v>8</v>
      </c>
      <c r="G13" s="83" t="s">
        <v>123</v>
      </c>
      <c r="H13" s="84">
        <v>3600</v>
      </c>
      <c r="J13" s="83">
        <v>8</v>
      </c>
      <c r="K13" s="85" t="s">
        <v>917</v>
      </c>
      <c r="L13" s="84">
        <v>1233</v>
      </c>
      <c r="N13" s="83">
        <v>132</v>
      </c>
      <c r="O13" s="85" t="s">
        <v>122</v>
      </c>
      <c r="P13" s="345">
        <v>3132</v>
      </c>
    </row>
    <row r="14" spans="1:16" ht="12.75" customHeight="1" x14ac:dyDescent="0.2">
      <c r="A14" s="83">
        <v>12</v>
      </c>
      <c r="B14" s="83" t="s">
        <v>978</v>
      </c>
      <c r="C14" s="84">
        <v>30003</v>
      </c>
      <c r="F14" s="83">
        <v>9</v>
      </c>
      <c r="G14" s="83" t="s">
        <v>125</v>
      </c>
      <c r="H14" s="84">
        <v>3200</v>
      </c>
      <c r="J14" s="83">
        <v>9</v>
      </c>
      <c r="K14" s="85" t="s">
        <v>918</v>
      </c>
      <c r="L14" s="84">
        <v>30740</v>
      </c>
      <c r="N14" s="83">
        <v>133</v>
      </c>
      <c r="O14" s="85" t="s">
        <v>124</v>
      </c>
      <c r="P14" s="84">
        <v>15000</v>
      </c>
    </row>
    <row r="15" spans="1:16" ht="12.75" customHeight="1" x14ac:dyDescent="0.2">
      <c r="A15" s="83">
        <v>13</v>
      </c>
      <c r="B15" s="83" t="s">
        <v>979</v>
      </c>
      <c r="C15" s="84">
        <v>9553</v>
      </c>
      <c r="F15" s="83">
        <v>10</v>
      </c>
      <c r="G15" s="83" t="s">
        <v>126</v>
      </c>
      <c r="H15" s="84">
        <v>3360</v>
      </c>
      <c r="J15" s="83">
        <v>10</v>
      </c>
      <c r="K15" s="85" t="s">
        <v>920</v>
      </c>
      <c r="L15" s="84">
        <v>20019</v>
      </c>
      <c r="N15" s="83">
        <v>137</v>
      </c>
      <c r="O15" s="83" t="s">
        <v>967</v>
      </c>
      <c r="P15" s="84">
        <v>41258</v>
      </c>
    </row>
    <row r="16" spans="1:16" ht="12.75" customHeight="1" x14ac:dyDescent="0.2">
      <c r="A16" s="83">
        <v>14</v>
      </c>
      <c r="B16" s="83" t="s">
        <v>980</v>
      </c>
      <c r="C16" s="84">
        <v>7953</v>
      </c>
      <c r="F16" s="83">
        <v>11</v>
      </c>
      <c r="G16" s="83" t="s">
        <v>127</v>
      </c>
      <c r="H16" s="84">
        <v>2880</v>
      </c>
      <c r="J16" s="83">
        <v>11</v>
      </c>
      <c r="K16" s="85" t="s">
        <v>921</v>
      </c>
      <c r="L16" s="84">
        <v>1518</v>
      </c>
      <c r="N16" s="83">
        <v>138</v>
      </c>
      <c r="O16" s="83" t="s">
        <v>968</v>
      </c>
      <c r="P16" s="84">
        <v>750</v>
      </c>
    </row>
    <row r="17" spans="1:16" ht="12.75" customHeight="1" x14ac:dyDescent="0.2">
      <c r="A17" s="83">
        <v>15</v>
      </c>
      <c r="B17" s="83" t="s">
        <v>981</v>
      </c>
      <c r="C17" s="84">
        <v>22203</v>
      </c>
      <c r="F17" s="83">
        <v>12</v>
      </c>
      <c r="G17" s="83" t="s">
        <v>128</v>
      </c>
      <c r="H17" s="84">
        <v>4500</v>
      </c>
      <c r="J17" s="83">
        <v>12</v>
      </c>
      <c r="K17" s="85" t="s">
        <v>923</v>
      </c>
      <c r="L17" s="84">
        <v>3600</v>
      </c>
      <c r="N17" s="83">
        <v>139</v>
      </c>
      <c r="O17" s="85" t="s">
        <v>969</v>
      </c>
      <c r="P17" s="84">
        <v>960</v>
      </c>
    </row>
    <row r="18" spans="1:16" ht="12.75" customHeight="1" x14ac:dyDescent="0.2">
      <c r="A18" s="83">
        <v>16</v>
      </c>
      <c r="B18" s="83" t="s">
        <v>982</v>
      </c>
      <c r="C18" s="84">
        <v>6800</v>
      </c>
      <c r="F18" s="83">
        <v>13</v>
      </c>
      <c r="G18" s="83" t="s">
        <v>129</v>
      </c>
      <c r="H18" s="84">
        <v>8235</v>
      </c>
      <c r="J18" s="83">
        <v>13</v>
      </c>
      <c r="K18" s="85" t="s">
        <v>925</v>
      </c>
      <c r="L18" s="84">
        <v>5020</v>
      </c>
      <c r="P18" s="88">
        <f>SUM(P6:P17)</f>
        <v>94535</v>
      </c>
    </row>
    <row r="19" spans="1:16" ht="12.75" customHeight="1" x14ac:dyDescent="0.2">
      <c r="A19" s="83">
        <v>17</v>
      </c>
      <c r="B19" s="83" t="s">
        <v>983</v>
      </c>
      <c r="C19" s="84">
        <v>19069</v>
      </c>
      <c r="F19" s="83">
        <v>14</v>
      </c>
      <c r="G19" s="83" t="s">
        <v>131</v>
      </c>
      <c r="H19" s="84">
        <v>960</v>
      </c>
      <c r="J19" s="83">
        <v>14</v>
      </c>
      <c r="K19" s="85" t="s">
        <v>926</v>
      </c>
      <c r="L19" s="84">
        <v>3360</v>
      </c>
      <c r="O19" s="89" t="s">
        <v>130</v>
      </c>
    </row>
    <row r="20" spans="1:16" ht="12.75" customHeight="1" x14ac:dyDescent="0.2">
      <c r="A20" s="83">
        <v>18</v>
      </c>
      <c r="B20" s="83" t="s">
        <v>984</v>
      </c>
      <c r="C20" s="84">
        <v>12897</v>
      </c>
      <c r="F20" s="83">
        <v>15</v>
      </c>
      <c r="G20" s="83" t="s">
        <v>132</v>
      </c>
      <c r="H20" s="84">
        <v>960</v>
      </c>
      <c r="J20" s="83">
        <v>15</v>
      </c>
      <c r="K20" s="85" t="s">
        <v>929</v>
      </c>
      <c r="L20" s="84">
        <v>8235</v>
      </c>
      <c r="O20" s="83"/>
      <c r="P20" s="90"/>
    </row>
    <row r="21" spans="1:16" ht="12.75" customHeight="1" x14ac:dyDescent="0.2">
      <c r="A21" s="83">
        <v>19</v>
      </c>
      <c r="B21" s="83" t="s">
        <v>985</v>
      </c>
      <c r="C21" s="84">
        <v>6597</v>
      </c>
      <c r="F21" s="83">
        <v>16</v>
      </c>
      <c r="G21" s="83" t="s">
        <v>133</v>
      </c>
      <c r="H21" s="84">
        <v>960</v>
      </c>
      <c r="J21" s="83">
        <v>17</v>
      </c>
      <c r="K21" s="85" t="s">
        <v>932</v>
      </c>
      <c r="L21" s="84">
        <v>960</v>
      </c>
    </row>
    <row r="22" spans="1:16" ht="12.75" customHeight="1" thickBot="1" x14ac:dyDescent="0.25">
      <c r="A22" s="83">
        <v>20</v>
      </c>
      <c r="B22" s="83" t="s">
        <v>986</v>
      </c>
      <c r="C22" s="84">
        <v>28642</v>
      </c>
      <c r="F22" s="83">
        <v>18</v>
      </c>
      <c r="G22" s="83" t="s">
        <v>135</v>
      </c>
      <c r="H22" s="84">
        <v>960</v>
      </c>
      <c r="J22" s="83">
        <v>18</v>
      </c>
      <c r="K22" s="85" t="s">
        <v>934</v>
      </c>
      <c r="L22" s="84">
        <v>960</v>
      </c>
      <c r="O22" s="2" t="s">
        <v>134</v>
      </c>
      <c r="P22" s="91">
        <f>SUM(P18:P21)</f>
        <v>94535</v>
      </c>
    </row>
    <row r="23" spans="1:16" ht="12.75" customHeight="1" thickTop="1" x14ac:dyDescent="0.2">
      <c r="A23" s="83">
        <v>21</v>
      </c>
      <c r="B23" s="83" t="s">
        <v>987</v>
      </c>
      <c r="C23" s="84">
        <v>41507</v>
      </c>
      <c r="F23" s="83">
        <v>19</v>
      </c>
      <c r="G23" s="83" t="s">
        <v>136</v>
      </c>
      <c r="H23" s="84">
        <v>960</v>
      </c>
      <c r="J23" s="83">
        <v>19</v>
      </c>
      <c r="K23" s="85" t="s">
        <v>935</v>
      </c>
      <c r="L23" s="84">
        <v>960</v>
      </c>
    </row>
    <row r="24" spans="1:16" ht="12.75" customHeight="1" x14ac:dyDescent="0.2">
      <c r="A24" s="83">
        <v>22</v>
      </c>
      <c r="B24" s="83" t="s">
        <v>988</v>
      </c>
      <c r="C24" s="84">
        <v>26335</v>
      </c>
      <c r="F24" s="83">
        <v>20</v>
      </c>
      <c r="G24" s="83" t="s">
        <v>137</v>
      </c>
      <c r="H24" s="84">
        <v>960</v>
      </c>
      <c r="J24" s="83">
        <v>20</v>
      </c>
      <c r="K24" s="85" t="s">
        <v>937</v>
      </c>
      <c r="L24" s="84">
        <v>44862</v>
      </c>
    </row>
    <row r="25" spans="1:16" ht="12.75" customHeight="1" x14ac:dyDescent="0.2">
      <c r="A25" s="83">
        <v>23</v>
      </c>
      <c r="B25" s="83" t="s">
        <v>989</v>
      </c>
      <c r="C25" s="84">
        <v>1763</v>
      </c>
      <c r="F25" s="83">
        <v>21</v>
      </c>
      <c r="G25" s="83" t="s">
        <v>138</v>
      </c>
      <c r="H25" s="84">
        <v>960</v>
      </c>
      <c r="J25" s="83">
        <v>21</v>
      </c>
      <c r="K25" s="85" t="s">
        <v>939</v>
      </c>
      <c r="L25" s="84">
        <v>940</v>
      </c>
    </row>
    <row r="26" spans="1:16" ht="12.75" customHeight="1" x14ac:dyDescent="0.2">
      <c r="A26" s="83">
        <v>24</v>
      </c>
      <c r="B26" s="83" t="s">
        <v>990</v>
      </c>
      <c r="C26" s="84">
        <v>38803</v>
      </c>
      <c r="F26" s="83">
        <v>22</v>
      </c>
      <c r="G26" s="83" t="s">
        <v>139</v>
      </c>
      <c r="H26" s="84">
        <v>960</v>
      </c>
      <c r="J26" s="83">
        <v>22</v>
      </c>
      <c r="K26" s="85" t="s">
        <v>941</v>
      </c>
      <c r="L26" s="84">
        <v>940</v>
      </c>
    </row>
    <row r="27" spans="1:16" ht="12.75" customHeight="1" x14ac:dyDescent="0.2">
      <c r="A27" s="83">
        <v>26</v>
      </c>
      <c r="B27" s="83" t="s">
        <v>991</v>
      </c>
      <c r="C27" s="84">
        <v>8717</v>
      </c>
      <c r="F27" s="83">
        <v>23</v>
      </c>
      <c r="G27" s="83" t="s">
        <v>140</v>
      </c>
      <c r="H27" s="84">
        <v>960</v>
      </c>
      <c r="J27" s="83">
        <v>23</v>
      </c>
      <c r="K27" s="85" t="s">
        <v>942</v>
      </c>
      <c r="L27" s="84">
        <v>25025</v>
      </c>
    </row>
    <row r="28" spans="1:16" ht="12.75" customHeight="1" x14ac:dyDescent="0.2">
      <c r="A28" s="83">
        <v>30</v>
      </c>
      <c r="B28" s="83" t="s">
        <v>992</v>
      </c>
      <c r="C28" s="84">
        <v>20812</v>
      </c>
      <c r="F28" s="83">
        <v>24</v>
      </c>
      <c r="G28" s="83" t="s">
        <v>141</v>
      </c>
      <c r="H28" s="84">
        <v>1920</v>
      </c>
      <c r="J28" s="83">
        <v>24</v>
      </c>
      <c r="K28" s="85" t="s">
        <v>943</v>
      </c>
      <c r="L28" s="84">
        <v>1920</v>
      </c>
    </row>
    <row r="29" spans="1:16" ht="12.75" customHeight="1" x14ac:dyDescent="0.2">
      <c r="A29" s="83">
        <v>31</v>
      </c>
      <c r="B29" s="83" t="s">
        <v>993</v>
      </c>
      <c r="C29" s="84">
        <v>13729</v>
      </c>
      <c r="F29" s="83">
        <v>25</v>
      </c>
      <c r="G29" s="83" t="s">
        <v>142</v>
      </c>
      <c r="H29" s="84">
        <v>960</v>
      </c>
      <c r="J29" s="83">
        <v>25</v>
      </c>
      <c r="K29" s="85" t="s">
        <v>944</v>
      </c>
      <c r="L29" s="84">
        <v>15468</v>
      </c>
    </row>
    <row r="30" spans="1:16" ht="12.75" customHeight="1" x14ac:dyDescent="0.2">
      <c r="A30" s="83">
        <v>32</v>
      </c>
      <c r="B30" s="83" t="s">
        <v>994</v>
      </c>
      <c r="C30" s="84">
        <v>22229</v>
      </c>
      <c r="F30" s="83">
        <v>26</v>
      </c>
      <c r="G30" s="83" t="s">
        <v>143</v>
      </c>
      <c r="H30" s="84">
        <v>960</v>
      </c>
      <c r="J30" s="83">
        <v>26</v>
      </c>
      <c r="K30" s="85" t="s">
        <v>946</v>
      </c>
      <c r="L30" s="84">
        <v>2880</v>
      </c>
    </row>
    <row r="31" spans="1:16" ht="12.75" customHeight="1" x14ac:dyDescent="0.2">
      <c r="A31" s="83">
        <v>33</v>
      </c>
      <c r="B31" s="83" t="s">
        <v>995</v>
      </c>
      <c r="C31" s="84">
        <v>854</v>
      </c>
      <c r="F31" s="83">
        <v>27</v>
      </c>
      <c r="G31" s="83" t="s">
        <v>144</v>
      </c>
      <c r="H31" s="84">
        <v>960</v>
      </c>
      <c r="J31" s="83">
        <v>27</v>
      </c>
      <c r="K31" s="85" t="s">
        <v>947</v>
      </c>
      <c r="L31" s="84">
        <v>1920</v>
      </c>
    </row>
    <row r="32" spans="1:16" ht="12.75" customHeight="1" x14ac:dyDescent="0.2">
      <c r="A32" s="83">
        <v>34</v>
      </c>
      <c r="B32" s="83" t="s">
        <v>996</v>
      </c>
      <c r="C32" s="84">
        <v>2400</v>
      </c>
      <c r="F32" s="83">
        <v>28</v>
      </c>
      <c r="G32" s="83" t="s">
        <v>145</v>
      </c>
      <c r="H32" s="84">
        <v>960</v>
      </c>
      <c r="J32" s="83">
        <v>28</v>
      </c>
      <c r="K32" s="85" t="s">
        <v>948</v>
      </c>
      <c r="L32" s="84">
        <v>960</v>
      </c>
    </row>
    <row r="33" spans="1:12" ht="12.75" customHeight="1" x14ac:dyDescent="0.2">
      <c r="A33" s="83">
        <v>35</v>
      </c>
      <c r="B33" s="83" t="s">
        <v>997</v>
      </c>
      <c r="C33" s="84">
        <v>5952</v>
      </c>
      <c r="F33" s="83">
        <v>29</v>
      </c>
      <c r="G33" s="83" t="s">
        <v>146</v>
      </c>
      <c r="H33" s="84">
        <v>1920</v>
      </c>
      <c r="J33" s="83">
        <v>29</v>
      </c>
      <c r="K33" s="85" t="s">
        <v>949</v>
      </c>
      <c r="L33" s="84">
        <v>960</v>
      </c>
    </row>
    <row r="34" spans="1:12" ht="12.75" customHeight="1" x14ac:dyDescent="0.2">
      <c r="A34" s="83">
        <v>36</v>
      </c>
      <c r="B34" s="83" t="s">
        <v>998</v>
      </c>
      <c r="C34" s="84">
        <v>4308</v>
      </c>
      <c r="F34" s="83">
        <v>30</v>
      </c>
      <c r="G34" s="83" t="s">
        <v>147</v>
      </c>
      <c r="H34" s="84">
        <v>960</v>
      </c>
      <c r="J34" s="83">
        <v>30</v>
      </c>
      <c r="K34" s="85" t="s">
        <v>950</v>
      </c>
      <c r="L34" s="84">
        <v>960</v>
      </c>
    </row>
    <row r="35" spans="1:12" ht="12.75" customHeight="1" x14ac:dyDescent="0.2">
      <c r="A35" s="83">
        <v>37</v>
      </c>
      <c r="B35" s="83" t="s">
        <v>999</v>
      </c>
      <c r="C35" s="84">
        <v>108234</v>
      </c>
      <c r="F35" s="83">
        <v>31</v>
      </c>
      <c r="G35" s="83" t="s">
        <v>148</v>
      </c>
      <c r="H35" s="87">
        <v>960</v>
      </c>
      <c r="J35" s="83">
        <v>31</v>
      </c>
      <c r="K35" s="85" t="s">
        <v>951</v>
      </c>
      <c r="L35" s="84">
        <v>1920</v>
      </c>
    </row>
    <row r="36" spans="1:12" ht="12.75" customHeight="1" x14ac:dyDescent="0.2">
      <c r="A36" s="83">
        <v>38</v>
      </c>
      <c r="B36" s="83" t="s">
        <v>150</v>
      </c>
      <c r="C36" s="84">
        <v>960</v>
      </c>
      <c r="F36" s="94">
        <v>53</v>
      </c>
      <c r="G36" s="94" t="s">
        <v>157</v>
      </c>
      <c r="H36" s="95">
        <v>13500</v>
      </c>
      <c r="J36" s="83">
        <v>32</v>
      </c>
      <c r="K36" s="85" t="s">
        <v>952</v>
      </c>
      <c r="L36" s="84">
        <v>1920</v>
      </c>
    </row>
    <row r="37" spans="1:12" ht="12.75" customHeight="1" x14ac:dyDescent="0.2">
      <c r="A37" s="83">
        <v>39</v>
      </c>
      <c r="B37" s="83" t="s">
        <v>1000</v>
      </c>
      <c r="C37" s="84">
        <v>960</v>
      </c>
      <c r="F37" s="94">
        <v>54</v>
      </c>
      <c r="G37" s="94" t="s">
        <v>158</v>
      </c>
      <c r="H37" s="95">
        <v>9000</v>
      </c>
      <c r="J37" s="83">
        <v>33</v>
      </c>
      <c r="K37" s="85" t="s">
        <v>953</v>
      </c>
      <c r="L37" s="84">
        <v>198</v>
      </c>
    </row>
    <row r="38" spans="1:12" ht="12.75" customHeight="1" x14ac:dyDescent="0.2">
      <c r="A38" s="83">
        <v>41</v>
      </c>
      <c r="B38" s="83" t="s">
        <v>1001</v>
      </c>
      <c r="C38" s="84">
        <v>1050</v>
      </c>
      <c r="F38" s="94">
        <v>55</v>
      </c>
      <c r="G38" s="94" t="s">
        <v>159</v>
      </c>
      <c r="H38" s="95">
        <v>9000</v>
      </c>
      <c r="J38" s="83">
        <v>34</v>
      </c>
      <c r="K38" s="85" t="s">
        <v>955</v>
      </c>
      <c r="L38" s="84">
        <v>100</v>
      </c>
    </row>
    <row r="39" spans="1:12" ht="12.75" customHeight="1" x14ac:dyDescent="0.2">
      <c r="A39" s="83">
        <v>42</v>
      </c>
      <c r="B39" s="83" t="s">
        <v>1002</v>
      </c>
      <c r="C39" s="84">
        <v>1400</v>
      </c>
      <c r="F39" s="94">
        <v>51</v>
      </c>
      <c r="G39" s="94" t="s">
        <v>154</v>
      </c>
      <c r="H39" s="95">
        <v>480</v>
      </c>
      <c r="J39" s="83">
        <v>35</v>
      </c>
      <c r="K39" s="85" t="s">
        <v>957</v>
      </c>
      <c r="L39" s="84">
        <v>415</v>
      </c>
    </row>
    <row r="40" spans="1:12" ht="12.75" customHeight="1" x14ac:dyDescent="0.2">
      <c r="A40" s="83">
        <v>43</v>
      </c>
      <c r="B40" s="83" t="s">
        <v>156</v>
      </c>
      <c r="C40" s="84">
        <v>734</v>
      </c>
      <c r="F40" s="94">
        <v>52</v>
      </c>
      <c r="G40" s="94" t="s">
        <v>155</v>
      </c>
      <c r="H40" s="95">
        <v>480</v>
      </c>
      <c r="J40" s="83">
        <v>36</v>
      </c>
      <c r="K40" s="85" t="s">
        <v>958</v>
      </c>
      <c r="L40" s="84">
        <v>840</v>
      </c>
    </row>
    <row r="41" spans="1:12" ht="12.75" customHeight="1" x14ac:dyDescent="0.2">
      <c r="A41" s="83">
        <v>46</v>
      </c>
      <c r="B41" s="83" t="s">
        <v>1003</v>
      </c>
      <c r="C41" s="84">
        <v>960</v>
      </c>
      <c r="F41" s="94">
        <v>56</v>
      </c>
      <c r="G41" s="94" t="s">
        <v>149</v>
      </c>
      <c r="H41" s="95">
        <v>960</v>
      </c>
      <c r="J41" s="83">
        <v>37</v>
      </c>
      <c r="K41" s="85" t="s">
        <v>959</v>
      </c>
      <c r="L41" s="84">
        <v>270</v>
      </c>
    </row>
    <row r="42" spans="1:12" ht="12.75" customHeight="1" x14ac:dyDescent="0.2">
      <c r="A42" s="83">
        <v>47</v>
      </c>
      <c r="B42" s="83" t="s">
        <v>1004</v>
      </c>
      <c r="C42" s="84">
        <v>960</v>
      </c>
      <c r="F42" s="94">
        <v>57</v>
      </c>
      <c r="G42" s="94" t="s">
        <v>151</v>
      </c>
      <c r="H42" s="95">
        <v>960</v>
      </c>
      <c r="J42" s="83">
        <v>38</v>
      </c>
      <c r="K42" s="85" t="s">
        <v>960</v>
      </c>
      <c r="L42" s="84">
        <v>480</v>
      </c>
    </row>
    <row r="43" spans="1:12" ht="12.75" customHeight="1" x14ac:dyDescent="0.2">
      <c r="A43" s="83">
        <v>48</v>
      </c>
      <c r="B43" s="83" t="s">
        <v>1005</v>
      </c>
      <c r="C43" s="84">
        <v>450000</v>
      </c>
      <c r="F43" s="94">
        <v>58</v>
      </c>
      <c r="G43" s="94" t="s">
        <v>152</v>
      </c>
      <c r="H43" s="95">
        <v>960</v>
      </c>
      <c r="J43" s="83"/>
      <c r="K43" s="85"/>
      <c r="L43" s="88">
        <f>SUM(L6:L42)</f>
        <v>237600</v>
      </c>
    </row>
    <row r="44" spans="1:12" ht="12.75" customHeight="1" x14ac:dyDescent="0.2">
      <c r="A44" s="83">
        <v>136</v>
      </c>
      <c r="B44" s="83" t="s">
        <v>1006</v>
      </c>
      <c r="C44" s="84">
        <v>10000</v>
      </c>
      <c r="F44" s="94">
        <v>59</v>
      </c>
      <c r="G44" s="94" t="s">
        <v>153</v>
      </c>
      <c r="H44" s="95">
        <v>960</v>
      </c>
      <c r="J44" s="83"/>
      <c r="K44" s="85"/>
      <c r="L44" s="99"/>
    </row>
    <row r="45" spans="1:12" ht="12.75" customHeight="1" x14ac:dyDescent="0.2">
      <c r="A45" s="83">
        <v>161</v>
      </c>
      <c r="B45" s="83" t="s">
        <v>1007</v>
      </c>
      <c r="C45" s="84">
        <v>1200</v>
      </c>
      <c r="F45" s="94">
        <v>60</v>
      </c>
      <c r="G45" s="94" t="s">
        <v>160</v>
      </c>
      <c r="H45" s="95">
        <v>37734</v>
      </c>
      <c r="J45" s="83"/>
      <c r="L45" s="102"/>
    </row>
    <row r="46" spans="1:12" ht="12.75" customHeight="1" x14ac:dyDescent="0.2">
      <c r="A46" s="83">
        <v>162</v>
      </c>
      <c r="B46" s="83" t="s">
        <v>1008</v>
      </c>
      <c r="C46" s="84">
        <v>958</v>
      </c>
      <c r="F46" s="94">
        <v>61</v>
      </c>
      <c r="G46" s="294" t="s">
        <v>961</v>
      </c>
      <c r="H46" s="95">
        <v>2430</v>
      </c>
      <c r="J46" s="83"/>
      <c r="K46" s="89" t="s">
        <v>130</v>
      </c>
    </row>
    <row r="47" spans="1:12" ht="12.75" customHeight="1" x14ac:dyDescent="0.2">
      <c r="A47" s="83">
        <v>163</v>
      </c>
      <c r="B47" s="83" t="s">
        <v>1009</v>
      </c>
      <c r="C47" s="84">
        <v>958</v>
      </c>
      <c r="F47" s="94">
        <v>62</v>
      </c>
      <c r="G47" s="294" t="s">
        <v>962</v>
      </c>
      <c r="H47" s="95">
        <v>485</v>
      </c>
      <c r="J47" s="83"/>
      <c r="K47" s="83"/>
      <c r="L47" s="93"/>
    </row>
    <row r="48" spans="1:12" ht="12.75" customHeight="1" x14ac:dyDescent="0.2">
      <c r="A48" s="83">
        <v>164</v>
      </c>
      <c r="B48" s="83" t="s">
        <v>1010</v>
      </c>
      <c r="C48" s="84">
        <v>609</v>
      </c>
      <c r="F48" s="94">
        <v>63</v>
      </c>
      <c r="G48" s="294" t="s">
        <v>963</v>
      </c>
      <c r="H48" s="95">
        <v>120</v>
      </c>
    </row>
    <row r="49" spans="1:12" ht="12.75" customHeight="1" thickBot="1" x14ac:dyDescent="0.25">
      <c r="A49" s="83">
        <v>166</v>
      </c>
      <c r="B49" s="83" t="s">
        <v>1011</v>
      </c>
      <c r="C49" s="84">
        <v>16000</v>
      </c>
      <c r="F49" s="94">
        <v>64</v>
      </c>
      <c r="G49" s="294" t="s">
        <v>964</v>
      </c>
      <c r="H49" s="95">
        <v>296</v>
      </c>
      <c r="K49" s="2" t="s">
        <v>134</v>
      </c>
      <c r="L49" s="91">
        <f>L43</f>
        <v>237600</v>
      </c>
    </row>
    <row r="50" spans="1:12" ht="12.75" customHeight="1" thickTop="1" x14ac:dyDescent="0.2">
      <c r="A50" s="83">
        <v>167</v>
      </c>
      <c r="B50" s="83" t="s">
        <v>1012</v>
      </c>
      <c r="C50" s="84">
        <v>3738</v>
      </c>
      <c r="F50" s="94">
        <v>65</v>
      </c>
      <c r="G50" s="294" t="s">
        <v>965</v>
      </c>
      <c r="H50" s="95">
        <v>200</v>
      </c>
    </row>
    <row r="51" spans="1:12" ht="12.75" customHeight="1" x14ac:dyDescent="0.2">
      <c r="A51" s="83">
        <v>168</v>
      </c>
      <c r="B51" s="83" t="s">
        <v>1013</v>
      </c>
      <c r="C51" s="84">
        <v>1976</v>
      </c>
      <c r="F51" s="94"/>
      <c r="G51" s="94"/>
      <c r="H51" s="95"/>
    </row>
    <row r="52" spans="1:12" ht="12.75" customHeight="1" x14ac:dyDescent="0.2">
      <c r="A52" s="83">
        <v>169</v>
      </c>
      <c r="B52" s="83" t="s">
        <v>1014</v>
      </c>
      <c r="C52" s="84">
        <v>200</v>
      </c>
      <c r="F52" s="83"/>
      <c r="H52" s="92">
        <f>SUM(H6:H50)</f>
        <v>237704</v>
      </c>
    </row>
    <row r="53" spans="1:12" ht="12.75" customHeight="1" x14ac:dyDescent="0.2">
      <c r="A53" s="83">
        <v>184</v>
      </c>
      <c r="B53" s="83" t="s">
        <v>1015</v>
      </c>
      <c r="C53" s="84">
        <v>940</v>
      </c>
      <c r="F53" s="83"/>
      <c r="G53" s="89"/>
      <c r="H53" s="97"/>
    </row>
    <row r="54" spans="1:12" ht="12.75" customHeight="1" x14ac:dyDescent="0.2">
      <c r="A54" s="83">
        <v>185</v>
      </c>
      <c r="B54" s="83" t="s">
        <v>1016</v>
      </c>
      <c r="C54" s="84">
        <v>960</v>
      </c>
      <c r="F54" s="83"/>
      <c r="G54" s="83"/>
      <c r="H54" s="98"/>
    </row>
    <row r="55" spans="1:12" ht="12.75" customHeight="1" thickBot="1" x14ac:dyDescent="0.25">
      <c r="A55" s="83">
        <v>186</v>
      </c>
      <c r="B55" s="83" t="s">
        <v>1017</v>
      </c>
      <c r="C55" s="84">
        <v>960</v>
      </c>
      <c r="F55" s="83"/>
      <c r="G55" s="2" t="s">
        <v>134</v>
      </c>
      <c r="H55" s="91">
        <f>SUM(H52:H54)</f>
        <v>237704</v>
      </c>
      <c r="K55" s="83"/>
      <c r="L55" s="96"/>
    </row>
    <row r="56" spans="1:12" ht="12.75" customHeight="1" thickTop="1" x14ac:dyDescent="0.2">
      <c r="A56" s="83">
        <v>190</v>
      </c>
      <c r="B56" s="83" t="s">
        <v>1018</v>
      </c>
      <c r="C56" s="84">
        <v>300</v>
      </c>
    </row>
    <row r="57" spans="1:12" ht="12.75" customHeight="1" x14ac:dyDescent="0.2">
      <c r="A57" s="83">
        <v>191</v>
      </c>
      <c r="B57" s="83" t="s">
        <v>1019</v>
      </c>
      <c r="C57" s="84">
        <v>300</v>
      </c>
      <c r="G57" s="2"/>
      <c r="H57" s="99"/>
    </row>
    <row r="58" spans="1:12" ht="12.75" customHeight="1" x14ac:dyDescent="0.2">
      <c r="A58" s="83">
        <v>192</v>
      </c>
      <c r="B58" s="83" t="s">
        <v>1020</v>
      </c>
      <c r="C58" s="84">
        <v>300</v>
      </c>
      <c r="G58" s="2"/>
      <c r="H58" s="99"/>
    </row>
    <row r="59" spans="1:12" ht="12.75" customHeight="1" x14ac:dyDescent="0.2">
      <c r="A59" s="83">
        <v>193</v>
      </c>
      <c r="B59" s="83" t="s">
        <v>1021</v>
      </c>
      <c r="C59" s="84">
        <v>300</v>
      </c>
      <c r="D59" s="100"/>
      <c r="E59" s="100"/>
      <c r="G59" s="2"/>
      <c r="H59" s="99"/>
    </row>
    <row r="60" spans="1:12" ht="12.75" customHeight="1" x14ac:dyDescent="0.2">
      <c r="A60" s="83">
        <v>194</v>
      </c>
      <c r="B60" s="83" t="s">
        <v>1022</v>
      </c>
      <c r="C60" s="84">
        <v>300</v>
      </c>
      <c r="D60" s="100"/>
      <c r="E60" s="100"/>
      <c r="G60" s="2"/>
      <c r="H60" s="99"/>
    </row>
    <row r="61" spans="1:12" ht="12.75" customHeight="1" x14ac:dyDescent="0.2">
      <c r="A61" s="83">
        <v>195</v>
      </c>
      <c r="B61" s="83" t="s">
        <v>1023</v>
      </c>
      <c r="C61" s="84">
        <v>300</v>
      </c>
      <c r="D61" s="100"/>
      <c r="E61" s="100"/>
      <c r="G61" s="2"/>
      <c r="H61" s="99"/>
    </row>
    <row r="62" spans="1:12" ht="12.75" customHeight="1" x14ac:dyDescent="0.2">
      <c r="A62" s="83">
        <v>196</v>
      </c>
      <c r="B62" s="83" t="s">
        <v>1024</v>
      </c>
      <c r="C62" s="84">
        <v>480</v>
      </c>
      <c r="D62" s="100"/>
      <c r="E62" s="100"/>
      <c r="G62" s="2"/>
      <c r="H62" s="99"/>
    </row>
    <row r="63" spans="1:12" ht="12.75" customHeight="1" x14ac:dyDescent="0.2">
      <c r="A63" s="83">
        <v>197</v>
      </c>
      <c r="B63" s="83" t="s">
        <v>1025</v>
      </c>
      <c r="C63" s="84">
        <v>79781</v>
      </c>
      <c r="D63" s="100"/>
      <c r="E63" s="100"/>
      <c r="G63" s="2"/>
      <c r="H63" s="99"/>
    </row>
    <row r="64" spans="1:12" ht="12.75" customHeight="1" x14ac:dyDescent="0.2">
      <c r="A64" s="83">
        <v>198</v>
      </c>
      <c r="B64" s="83" t="s">
        <v>1026</v>
      </c>
      <c r="C64" s="84">
        <v>15796</v>
      </c>
      <c r="G64" s="2"/>
      <c r="H64" s="99"/>
    </row>
    <row r="65" spans="1:7" ht="12.75" customHeight="1" x14ac:dyDescent="0.2">
      <c r="A65" s="83">
        <v>199</v>
      </c>
      <c r="B65" s="83" t="s">
        <v>1027</v>
      </c>
      <c r="C65" s="84">
        <v>91592</v>
      </c>
    </row>
    <row r="66" spans="1:7" ht="12.75" customHeight="1" x14ac:dyDescent="0.2">
      <c r="A66" s="83">
        <v>200</v>
      </c>
      <c r="B66" s="83" t="s">
        <v>1028</v>
      </c>
      <c r="C66" s="84">
        <v>32390</v>
      </c>
      <c r="D66" s="454"/>
      <c r="E66" s="454"/>
    </row>
    <row r="67" spans="1:7" ht="12.75" customHeight="1" x14ac:dyDescent="0.2">
      <c r="A67" s="83">
        <v>201</v>
      </c>
      <c r="B67" s="83" t="s">
        <v>1029</v>
      </c>
      <c r="C67" s="84">
        <v>40656</v>
      </c>
    </row>
    <row r="68" spans="1:7" ht="12.75" customHeight="1" x14ac:dyDescent="0.2">
      <c r="A68" s="83">
        <v>202</v>
      </c>
      <c r="B68" s="83" t="s">
        <v>1030</v>
      </c>
      <c r="C68" s="84">
        <v>354</v>
      </c>
    </row>
    <row r="69" spans="1:7" ht="12.75" customHeight="1" x14ac:dyDescent="0.2">
      <c r="A69" s="83">
        <v>203</v>
      </c>
      <c r="B69" s="83" t="s">
        <v>1031</v>
      </c>
      <c r="C69" s="84">
        <v>2649</v>
      </c>
    </row>
    <row r="70" spans="1:7" ht="12.75" customHeight="1" x14ac:dyDescent="0.2">
      <c r="A70" s="83">
        <v>204</v>
      </c>
      <c r="B70" s="83" t="s">
        <v>1032</v>
      </c>
      <c r="C70" s="84">
        <v>532</v>
      </c>
    </row>
    <row r="71" spans="1:7" ht="12.75" customHeight="1" x14ac:dyDescent="0.2">
      <c r="A71" s="83">
        <v>205</v>
      </c>
      <c r="B71" s="83" t="s">
        <v>1033</v>
      </c>
      <c r="C71" s="84">
        <v>653</v>
      </c>
    </row>
    <row r="72" spans="1:7" ht="12.75" customHeight="1" x14ac:dyDescent="0.2">
      <c r="A72" s="83">
        <v>206</v>
      </c>
      <c r="B72" s="83" t="s">
        <v>1034</v>
      </c>
      <c r="C72" s="84">
        <v>1984</v>
      </c>
    </row>
    <row r="73" spans="1:7" ht="12.75" customHeight="1" x14ac:dyDescent="0.2">
      <c r="A73" s="83">
        <v>207</v>
      </c>
      <c r="B73" s="83" t="s">
        <v>1035</v>
      </c>
      <c r="C73" s="84">
        <v>725</v>
      </c>
    </row>
    <row r="74" spans="1:7" ht="22.5" x14ac:dyDescent="0.2">
      <c r="A74" s="83">
        <v>208</v>
      </c>
      <c r="B74" s="83" t="s">
        <v>1036</v>
      </c>
      <c r="C74" s="84">
        <v>477</v>
      </c>
      <c r="G74" s="90"/>
    </row>
    <row r="75" spans="1:7" x14ac:dyDescent="0.2">
      <c r="A75" s="83">
        <v>209</v>
      </c>
      <c r="B75" s="83" t="s">
        <v>1037</v>
      </c>
      <c r="C75" s="84">
        <v>39</v>
      </c>
    </row>
    <row r="76" spans="1:7" ht="24" customHeight="1" x14ac:dyDescent="0.2">
      <c r="A76" s="83">
        <v>210</v>
      </c>
      <c r="B76" s="83" t="s">
        <v>1038</v>
      </c>
      <c r="C76" s="84">
        <v>1316</v>
      </c>
    </row>
    <row r="77" spans="1:7" x14ac:dyDescent="0.2">
      <c r="A77" s="83">
        <v>211</v>
      </c>
      <c r="B77" s="83" t="s">
        <v>1039</v>
      </c>
      <c r="C77" s="84">
        <v>51669</v>
      </c>
    </row>
    <row r="78" spans="1:7" x14ac:dyDescent="0.2">
      <c r="A78" s="83">
        <v>212</v>
      </c>
      <c r="B78" s="83" t="s">
        <v>1040</v>
      </c>
      <c r="C78" s="84">
        <v>1920</v>
      </c>
    </row>
    <row r="79" spans="1:7" x14ac:dyDescent="0.2">
      <c r="A79" s="83">
        <v>213</v>
      </c>
      <c r="B79" s="83" t="s">
        <v>1041</v>
      </c>
      <c r="C79" s="84">
        <v>960</v>
      </c>
    </row>
    <row r="80" spans="1:7" x14ac:dyDescent="0.2">
      <c r="A80" s="83">
        <v>214</v>
      </c>
      <c r="B80" s="83" t="s">
        <v>1042</v>
      </c>
      <c r="C80" s="84">
        <v>960</v>
      </c>
    </row>
    <row r="81" spans="1:3" x14ac:dyDescent="0.2">
      <c r="A81" s="83">
        <v>215</v>
      </c>
      <c r="B81" s="83" t="s">
        <v>1043</v>
      </c>
      <c r="C81" s="84">
        <v>960</v>
      </c>
    </row>
    <row r="82" spans="1:3" x14ac:dyDescent="0.2">
      <c r="A82" s="83">
        <v>216</v>
      </c>
      <c r="B82" s="83" t="s">
        <v>1044</v>
      </c>
      <c r="C82" s="84">
        <v>960</v>
      </c>
    </row>
    <row r="83" spans="1:3" x14ac:dyDescent="0.2">
      <c r="A83" s="83">
        <v>217</v>
      </c>
      <c r="B83" s="83" t="s">
        <v>1045</v>
      </c>
      <c r="C83" s="84">
        <v>960</v>
      </c>
    </row>
    <row r="84" spans="1:3" ht="22.5" x14ac:dyDescent="0.2">
      <c r="A84" s="83">
        <v>218</v>
      </c>
      <c r="B84" s="83" t="s">
        <v>1046</v>
      </c>
      <c r="C84" s="84">
        <v>477</v>
      </c>
    </row>
    <row r="85" spans="1:3" x14ac:dyDescent="0.2">
      <c r="A85" s="83">
        <v>219</v>
      </c>
      <c r="B85" s="83" t="s">
        <v>1047</v>
      </c>
      <c r="C85" s="84">
        <v>960</v>
      </c>
    </row>
    <row r="86" spans="1:3" x14ac:dyDescent="0.2">
      <c r="A86" s="83">
        <v>220</v>
      </c>
      <c r="B86" s="83" t="s">
        <v>1048</v>
      </c>
      <c r="C86" s="84">
        <v>878</v>
      </c>
    </row>
    <row r="87" spans="1:3" x14ac:dyDescent="0.2">
      <c r="A87" s="83">
        <v>221</v>
      </c>
      <c r="B87" s="83" t="s">
        <v>1049</v>
      </c>
      <c r="C87" s="84">
        <v>625</v>
      </c>
    </row>
    <row r="88" spans="1:3" x14ac:dyDescent="0.2">
      <c r="A88" s="83">
        <v>222</v>
      </c>
      <c r="B88" s="83" t="s">
        <v>1050</v>
      </c>
      <c r="C88" s="84">
        <v>625</v>
      </c>
    </row>
    <row r="89" spans="1:3" x14ac:dyDescent="0.2">
      <c r="A89" s="83">
        <v>223</v>
      </c>
      <c r="B89" s="83" t="s">
        <v>1051</v>
      </c>
      <c r="C89" s="84">
        <v>199</v>
      </c>
    </row>
    <row r="90" spans="1:3" x14ac:dyDescent="0.2">
      <c r="A90" s="83">
        <v>224</v>
      </c>
      <c r="B90" s="83" t="s">
        <v>1052</v>
      </c>
      <c r="C90" s="84">
        <v>669</v>
      </c>
    </row>
    <row r="91" spans="1:3" x14ac:dyDescent="0.2">
      <c r="A91" s="83">
        <v>231</v>
      </c>
      <c r="B91" s="83" t="s">
        <v>958</v>
      </c>
      <c r="C91" s="84">
        <v>320</v>
      </c>
    </row>
    <row r="92" spans="1:3" x14ac:dyDescent="0.2">
      <c r="A92" s="83"/>
      <c r="B92" s="83"/>
      <c r="C92" s="295"/>
    </row>
    <row r="93" spans="1:3" x14ac:dyDescent="0.2">
      <c r="A93" s="83"/>
      <c r="B93" s="83"/>
      <c r="C93" s="296">
        <f>SUM(C6:C92)</f>
        <v>1446726</v>
      </c>
    </row>
    <row r="94" spans="1:3" x14ac:dyDescent="0.2">
      <c r="A94" s="83"/>
      <c r="B94" s="83"/>
      <c r="C94" s="84"/>
    </row>
    <row r="95" spans="1:3" x14ac:dyDescent="0.2">
      <c r="A95" s="83"/>
      <c r="B95" s="83"/>
      <c r="C95" s="84"/>
    </row>
    <row r="96" spans="1:3" x14ac:dyDescent="0.2">
      <c r="B96" s="89" t="s">
        <v>130</v>
      </c>
      <c r="C96" s="80"/>
    </row>
    <row r="97" spans="2:3" x14ac:dyDescent="0.2">
      <c r="B97" s="83" t="s">
        <v>161</v>
      </c>
      <c r="C97" s="84">
        <f>-C43</f>
        <v>-450000</v>
      </c>
    </row>
    <row r="98" spans="2:3" ht="33.75" x14ac:dyDescent="0.2">
      <c r="B98" s="83" t="s">
        <v>1055</v>
      </c>
      <c r="C98" s="84">
        <f>P7+P8+P9+P11+P12+P13</f>
        <v>20087</v>
      </c>
    </row>
    <row r="100" spans="2:3" x14ac:dyDescent="0.2">
      <c r="C100" s="80"/>
    </row>
    <row r="101" spans="2:3" ht="13.5" thickBot="1" x14ac:dyDescent="0.25">
      <c r="B101" s="2" t="s">
        <v>134</v>
      </c>
      <c r="C101" s="101">
        <f>C93+C97+C98</f>
        <v>1016813</v>
      </c>
    </row>
    <row r="102" spans="2:3" ht="13.5" thickTop="1" x14ac:dyDescent="0.2">
      <c r="B102" s="2"/>
      <c r="C102" s="102"/>
    </row>
    <row r="103" spans="2:3" x14ac:dyDescent="0.2">
      <c r="B103" s="3"/>
    </row>
  </sheetData>
  <sortState ref="F37:H46">
    <sortCondition ref="F37:F46"/>
  </sortState>
  <mergeCells count="5">
    <mergeCell ref="A4:C4"/>
    <mergeCell ref="F4:H4"/>
    <mergeCell ref="J4:L4"/>
    <mergeCell ref="N4:P4"/>
    <mergeCell ref="D66:E66"/>
  </mergeCells>
  <pageMargins left="0.25" right="0.25" top="0.25" bottom="0.25" header="0.5" footer="0.5"/>
  <pageSetup scale="63" orientation="landscape" r:id="rId1"/>
  <headerFooter alignWithMargins="0"/>
  <drawing r:id="rId2"/>
  <legacyDrawing r:id="rId3"/>
  <controls>
    <mc:AlternateContent xmlns:mc="http://schemas.openxmlformats.org/markup-compatibility/2006">
      <mc:Choice Requires="x14">
        <control shapeId="8195" r:id="rId4" name="Control 3">
          <controlPr defaultSize="0" r:id="rId5">
            <anchor moveWithCells="1">
              <from>
                <xdr:col>13</xdr:col>
                <xdr:colOff>0</xdr:colOff>
                <xdr:row>17</xdr:row>
                <xdr:rowOff>0</xdr:rowOff>
              </from>
              <to>
                <xdr:col>14</xdr:col>
                <xdr:colOff>590550</xdr:colOff>
                <xdr:row>18</xdr:row>
                <xdr:rowOff>66675</xdr:rowOff>
              </to>
            </anchor>
          </controlPr>
        </control>
      </mc:Choice>
      <mc:Fallback>
        <control shapeId="8195" r:id="rId4" name="Control 3"/>
      </mc:Fallback>
    </mc:AlternateContent>
    <mc:AlternateContent xmlns:mc="http://schemas.openxmlformats.org/markup-compatibility/2006">
      <mc:Choice Requires="x14">
        <control shapeId="8196" r:id="rId6" name="Control 4">
          <controlPr defaultSize="0" r:id="rId5">
            <anchor moveWithCells="1">
              <from>
                <xdr:col>14</xdr:col>
                <xdr:colOff>0</xdr:colOff>
                <xdr:row>17</xdr:row>
                <xdr:rowOff>0</xdr:rowOff>
              </from>
              <to>
                <xdr:col>14</xdr:col>
                <xdr:colOff>914400</xdr:colOff>
                <xdr:row>18</xdr:row>
                <xdr:rowOff>66675</xdr:rowOff>
              </to>
            </anchor>
          </controlPr>
        </control>
      </mc:Choice>
      <mc:Fallback>
        <control shapeId="8196" r:id="rId6" name="Control 4"/>
      </mc:Fallback>
    </mc:AlternateContent>
    <mc:AlternateContent xmlns:mc="http://schemas.openxmlformats.org/markup-compatibility/2006">
      <mc:Choice Requires="x14">
        <control shapeId="8197" r:id="rId7" name="Control 5">
          <controlPr defaultSize="0" r:id="rId8">
            <anchor moveWithCells="1">
              <from>
                <xdr:col>14</xdr:col>
                <xdr:colOff>0</xdr:colOff>
                <xdr:row>17</xdr:row>
                <xdr:rowOff>0</xdr:rowOff>
              </from>
              <to>
                <xdr:col>14</xdr:col>
                <xdr:colOff>914400</xdr:colOff>
                <xdr:row>18</xdr:row>
                <xdr:rowOff>66675</xdr:rowOff>
              </to>
            </anchor>
          </controlPr>
        </control>
      </mc:Choice>
      <mc:Fallback>
        <control shapeId="8197" r:id="rId7" name="Control 5"/>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workbookViewId="0">
      <selection activeCell="H4" sqref="H4:H40"/>
    </sheetView>
  </sheetViews>
  <sheetFormatPr defaultRowHeight="15" x14ac:dyDescent="0.25"/>
  <cols>
    <col min="1" max="1" width="44.85546875" style="286" customWidth="1"/>
    <col min="2" max="2" width="6.28515625" style="286" customWidth="1"/>
    <col min="3" max="3" width="33.28515625" style="286" customWidth="1"/>
    <col min="4" max="8" width="9" style="286" customWidth="1"/>
    <col min="9" max="9" width="10.7109375" style="286" customWidth="1"/>
    <col min="10" max="10" width="18" style="286" customWidth="1"/>
    <col min="11" max="11" width="23.28515625" style="286" bestFit="1" customWidth="1"/>
    <col min="12" max="12" width="6.28515625" style="286" customWidth="1"/>
    <col min="13" max="16384" width="9.140625" style="286"/>
  </cols>
  <sheetData>
    <row r="1" spans="1:12" ht="15" customHeight="1" x14ac:dyDescent="0.25">
      <c r="A1" s="285"/>
      <c r="B1" s="455" t="s">
        <v>891</v>
      </c>
      <c r="C1" s="455"/>
      <c r="D1" s="455"/>
      <c r="E1" s="455"/>
      <c r="F1" s="455"/>
      <c r="G1" s="455"/>
      <c r="H1" s="455"/>
      <c r="I1" s="455"/>
      <c r="J1" s="455"/>
      <c r="K1" s="455"/>
      <c r="L1" s="455"/>
    </row>
    <row r="2" spans="1:12" ht="15" customHeight="1" x14ac:dyDescent="0.25">
      <c r="A2" s="456" t="s">
        <v>892</v>
      </c>
      <c r="B2" s="456"/>
      <c r="C2" s="456"/>
      <c r="D2" s="456"/>
      <c r="E2" s="456"/>
      <c r="F2" s="456"/>
      <c r="G2" s="456"/>
      <c r="H2" s="456"/>
      <c r="I2" s="456"/>
      <c r="J2" s="456"/>
      <c r="K2" s="456"/>
      <c r="L2" s="456"/>
    </row>
    <row r="3" spans="1:12" ht="12.6" customHeight="1" x14ac:dyDescent="0.25">
      <c r="A3" s="287" t="s">
        <v>893</v>
      </c>
      <c r="B3" s="287" t="s">
        <v>894</v>
      </c>
      <c r="C3" s="287" t="s">
        <v>658</v>
      </c>
      <c r="D3" s="287" t="s">
        <v>895</v>
      </c>
      <c r="E3" s="287" t="s">
        <v>896</v>
      </c>
      <c r="F3" s="287" t="s">
        <v>897</v>
      </c>
      <c r="G3" s="287" t="s">
        <v>898</v>
      </c>
      <c r="H3" s="287" t="s">
        <v>899</v>
      </c>
      <c r="I3" s="288" t="s">
        <v>900</v>
      </c>
      <c r="J3" s="288" t="s">
        <v>901</v>
      </c>
      <c r="K3" s="288" t="s">
        <v>902</v>
      </c>
      <c r="L3" s="288" t="s">
        <v>903</v>
      </c>
    </row>
    <row r="4" spans="1:12" ht="15" customHeight="1" x14ac:dyDescent="0.25">
      <c r="A4" s="289" t="s">
        <v>904</v>
      </c>
      <c r="B4" s="290">
        <v>1</v>
      </c>
      <c r="C4" s="291" t="s">
        <v>905</v>
      </c>
      <c r="D4" s="288" t="s">
        <v>906</v>
      </c>
      <c r="E4" s="292">
        <v>46</v>
      </c>
      <c r="F4" s="292">
        <v>89</v>
      </c>
      <c r="G4" s="292">
        <v>9276</v>
      </c>
      <c r="H4" s="292">
        <v>14357</v>
      </c>
      <c r="I4" s="293">
        <v>0.6460959810545378</v>
      </c>
      <c r="J4" s="291" t="s">
        <v>907</v>
      </c>
      <c r="K4" s="291" t="s">
        <v>908</v>
      </c>
      <c r="L4" s="292" t="s">
        <v>909</v>
      </c>
    </row>
    <row r="5" spans="1:12" ht="15" customHeight="1" x14ac:dyDescent="0.25">
      <c r="A5" s="289" t="s">
        <v>904</v>
      </c>
      <c r="B5" s="290">
        <v>2</v>
      </c>
      <c r="C5" s="291" t="s">
        <v>910</v>
      </c>
      <c r="D5" s="288" t="s">
        <v>906</v>
      </c>
      <c r="E5" s="292">
        <v>25</v>
      </c>
      <c r="F5" s="292">
        <v>166</v>
      </c>
      <c r="G5" s="292">
        <v>11157</v>
      </c>
      <c r="H5" s="292">
        <v>14588</v>
      </c>
      <c r="I5" s="293">
        <v>0.76480669043049077</v>
      </c>
      <c r="J5" s="291" t="s">
        <v>907</v>
      </c>
      <c r="K5" s="291" t="s">
        <v>908</v>
      </c>
      <c r="L5" s="292" t="s">
        <v>909</v>
      </c>
    </row>
    <row r="6" spans="1:12" ht="15" customHeight="1" x14ac:dyDescent="0.25">
      <c r="A6" s="289" t="s">
        <v>904</v>
      </c>
      <c r="B6" s="290">
        <v>3</v>
      </c>
      <c r="C6" s="291" t="s">
        <v>911</v>
      </c>
      <c r="D6" s="288" t="s">
        <v>906</v>
      </c>
      <c r="E6" s="292">
        <v>17</v>
      </c>
      <c r="F6" s="292">
        <v>320</v>
      </c>
      <c r="G6" s="292">
        <v>5285</v>
      </c>
      <c r="H6" s="292">
        <v>9277</v>
      </c>
      <c r="I6" s="293">
        <v>0.56968847687830115</v>
      </c>
      <c r="J6" s="291" t="s">
        <v>907</v>
      </c>
      <c r="K6" s="291" t="s">
        <v>908</v>
      </c>
      <c r="L6" s="292" t="s">
        <v>909</v>
      </c>
    </row>
    <row r="7" spans="1:12" ht="15" customHeight="1" x14ac:dyDescent="0.25">
      <c r="A7" s="289" t="s">
        <v>904</v>
      </c>
      <c r="B7" s="290">
        <v>4</v>
      </c>
      <c r="C7" s="291" t="s">
        <v>912</v>
      </c>
      <c r="D7" s="288" t="s">
        <v>906</v>
      </c>
      <c r="E7" s="292">
        <v>18</v>
      </c>
      <c r="F7" s="292">
        <v>309</v>
      </c>
      <c r="G7" s="292">
        <v>10496</v>
      </c>
      <c r="H7" s="292">
        <v>14496</v>
      </c>
      <c r="I7" s="293">
        <v>0.72406181015452542</v>
      </c>
      <c r="J7" s="291" t="s">
        <v>907</v>
      </c>
      <c r="K7" s="291" t="s">
        <v>908</v>
      </c>
      <c r="L7" s="292" t="s">
        <v>909</v>
      </c>
    </row>
    <row r="8" spans="1:12" ht="15" customHeight="1" x14ac:dyDescent="0.25">
      <c r="A8" s="289" t="s">
        <v>904</v>
      </c>
      <c r="B8" s="290">
        <v>5</v>
      </c>
      <c r="C8" s="291" t="s">
        <v>913</v>
      </c>
      <c r="D8" s="288" t="s">
        <v>906</v>
      </c>
      <c r="E8" s="292">
        <v>13</v>
      </c>
      <c r="F8" s="292">
        <v>27</v>
      </c>
      <c r="G8" s="292">
        <v>2067</v>
      </c>
      <c r="H8" s="292">
        <v>2785</v>
      </c>
      <c r="I8" s="293">
        <v>0.74219030520646323</v>
      </c>
      <c r="J8" s="291" t="s">
        <v>907</v>
      </c>
      <c r="K8" s="291" t="s">
        <v>908</v>
      </c>
      <c r="L8" s="292" t="s">
        <v>909</v>
      </c>
    </row>
    <row r="9" spans="1:12" ht="15" customHeight="1" x14ac:dyDescent="0.25">
      <c r="A9" s="289" t="s">
        <v>904</v>
      </c>
      <c r="B9" s="290">
        <v>6</v>
      </c>
      <c r="C9" s="291" t="s">
        <v>914</v>
      </c>
      <c r="D9" s="288" t="s">
        <v>906</v>
      </c>
      <c r="E9" s="292">
        <v>2</v>
      </c>
      <c r="F9" s="292">
        <v>0</v>
      </c>
      <c r="G9" s="292">
        <v>1444</v>
      </c>
      <c r="H9" s="292">
        <v>1518</v>
      </c>
      <c r="I9" s="293">
        <v>0.9512516469038208</v>
      </c>
      <c r="J9" s="291" t="s">
        <v>907</v>
      </c>
      <c r="K9" s="291" t="s">
        <v>908</v>
      </c>
      <c r="L9" s="292" t="s">
        <v>909</v>
      </c>
    </row>
    <row r="10" spans="1:12" ht="15" customHeight="1" x14ac:dyDescent="0.25">
      <c r="A10" s="289" t="s">
        <v>904</v>
      </c>
      <c r="B10" s="290">
        <v>7</v>
      </c>
      <c r="C10" s="291" t="s">
        <v>915</v>
      </c>
      <c r="D10" s="288" t="s">
        <v>906</v>
      </c>
      <c r="E10" s="292">
        <v>5</v>
      </c>
      <c r="F10" s="292">
        <v>0</v>
      </c>
      <c r="G10" s="292">
        <v>676</v>
      </c>
      <c r="H10" s="292">
        <v>996</v>
      </c>
      <c r="I10" s="293">
        <v>0.67871485943775101</v>
      </c>
      <c r="J10" s="291" t="s">
        <v>907</v>
      </c>
      <c r="K10" s="291" t="s">
        <v>916</v>
      </c>
      <c r="L10" s="292" t="s">
        <v>909</v>
      </c>
    </row>
    <row r="11" spans="1:12" ht="15" customHeight="1" x14ac:dyDescent="0.25">
      <c r="A11" s="289" t="s">
        <v>904</v>
      </c>
      <c r="B11" s="290">
        <v>8</v>
      </c>
      <c r="C11" s="291" t="s">
        <v>917</v>
      </c>
      <c r="D11" s="288" t="s">
        <v>906</v>
      </c>
      <c r="E11" s="292">
        <v>7</v>
      </c>
      <c r="F11" s="292">
        <v>0</v>
      </c>
      <c r="G11" s="292">
        <v>794</v>
      </c>
      <c r="H11" s="292">
        <v>1233</v>
      </c>
      <c r="I11" s="293">
        <v>0.64395782643957822</v>
      </c>
      <c r="J11" s="291" t="s">
        <v>907</v>
      </c>
      <c r="K11" s="291" t="s">
        <v>916</v>
      </c>
      <c r="L11" s="292" t="s">
        <v>909</v>
      </c>
    </row>
    <row r="12" spans="1:12" ht="15" customHeight="1" x14ac:dyDescent="0.25">
      <c r="A12" s="289" t="s">
        <v>904</v>
      </c>
      <c r="B12" s="290">
        <v>9</v>
      </c>
      <c r="C12" s="291" t="s">
        <v>918</v>
      </c>
      <c r="D12" s="288" t="s">
        <v>919</v>
      </c>
      <c r="E12" s="292">
        <v>53</v>
      </c>
      <c r="F12" s="292">
        <v>536</v>
      </c>
      <c r="G12" s="292">
        <v>19476</v>
      </c>
      <c r="H12" s="292">
        <v>30740</v>
      </c>
      <c r="I12" s="293">
        <v>0.63357189329863373</v>
      </c>
      <c r="J12" s="291" t="s">
        <v>907</v>
      </c>
      <c r="K12" s="291" t="s">
        <v>908</v>
      </c>
      <c r="L12" s="292" t="s">
        <v>909</v>
      </c>
    </row>
    <row r="13" spans="1:12" ht="15" customHeight="1" x14ac:dyDescent="0.25">
      <c r="A13" s="289" t="s">
        <v>904</v>
      </c>
      <c r="B13" s="290">
        <v>10</v>
      </c>
      <c r="C13" s="291" t="s">
        <v>920</v>
      </c>
      <c r="D13" s="288" t="s">
        <v>919</v>
      </c>
      <c r="E13" s="292">
        <v>37</v>
      </c>
      <c r="F13" s="292">
        <v>380</v>
      </c>
      <c r="G13" s="292">
        <v>12932</v>
      </c>
      <c r="H13" s="292">
        <v>20019</v>
      </c>
      <c r="I13" s="293">
        <v>0.64598631300264753</v>
      </c>
      <c r="J13" s="291" t="s">
        <v>907</v>
      </c>
      <c r="K13" s="291" t="s">
        <v>908</v>
      </c>
      <c r="L13" s="292" t="s">
        <v>909</v>
      </c>
    </row>
    <row r="14" spans="1:12" ht="15" customHeight="1" x14ac:dyDescent="0.25">
      <c r="A14" s="289" t="s">
        <v>904</v>
      </c>
      <c r="B14" s="290">
        <v>11</v>
      </c>
      <c r="C14" s="291" t="s">
        <v>921</v>
      </c>
      <c r="D14" s="288" t="s">
        <v>922</v>
      </c>
      <c r="E14" s="292">
        <v>2</v>
      </c>
      <c r="F14" s="292">
        <v>0</v>
      </c>
      <c r="G14" s="292">
        <v>1444</v>
      </c>
      <c r="H14" s="292">
        <v>1518</v>
      </c>
      <c r="I14" s="293">
        <v>0.9512516469038208</v>
      </c>
      <c r="J14" s="291" t="s">
        <v>907</v>
      </c>
      <c r="K14" s="291" t="s">
        <v>908</v>
      </c>
      <c r="L14" s="292" t="s">
        <v>909</v>
      </c>
    </row>
    <row r="15" spans="1:12" ht="15" customHeight="1" x14ac:dyDescent="0.25">
      <c r="A15" s="289" t="s">
        <v>904</v>
      </c>
      <c r="B15" s="290">
        <v>12</v>
      </c>
      <c r="C15" s="291" t="s">
        <v>923</v>
      </c>
      <c r="D15" s="288" t="s">
        <v>924</v>
      </c>
      <c r="E15" s="292">
        <v>4</v>
      </c>
      <c r="F15" s="292">
        <v>1</v>
      </c>
      <c r="G15" s="292">
        <v>3099</v>
      </c>
      <c r="H15" s="292">
        <v>3600</v>
      </c>
      <c r="I15" s="293">
        <v>0.86083333333333334</v>
      </c>
      <c r="J15" s="291" t="s">
        <v>907</v>
      </c>
      <c r="K15" s="291" t="s">
        <v>908</v>
      </c>
      <c r="L15" s="292" t="s">
        <v>909</v>
      </c>
    </row>
    <row r="16" spans="1:12" ht="15" customHeight="1" x14ac:dyDescent="0.25">
      <c r="A16" s="289" t="s">
        <v>904</v>
      </c>
      <c r="B16" s="290">
        <v>13</v>
      </c>
      <c r="C16" s="291" t="s">
        <v>925</v>
      </c>
      <c r="D16" s="288" t="s">
        <v>924</v>
      </c>
      <c r="E16" s="292">
        <v>11</v>
      </c>
      <c r="F16" s="292">
        <v>86</v>
      </c>
      <c r="G16" s="292">
        <v>4538</v>
      </c>
      <c r="H16" s="292">
        <v>5020</v>
      </c>
      <c r="I16" s="293">
        <v>0.90398406374501994</v>
      </c>
      <c r="J16" s="291" t="s">
        <v>907</v>
      </c>
      <c r="K16" s="291" t="s">
        <v>908</v>
      </c>
      <c r="L16" s="292" t="s">
        <v>909</v>
      </c>
    </row>
    <row r="17" spans="1:12" ht="15" customHeight="1" x14ac:dyDescent="0.25">
      <c r="A17" s="289" t="s">
        <v>904</v>
      </c>
      <c r="B17" s="290">
        <v>14</v>
      </c>
      <c r="C17" s="291" t="s">
        <v>926</v>
      </c>
      <c r="D17" s="288" t="s">
        <v>927</v>
      </c>
      <c r="E17" s="292">
        <v>13</v>
      </c>
      <c r="F17" s="292">
        <v>48</v>
      </c>
      <c r="G17" s="292">
        <v>2991</v>
      </c>
      <c r="H17" s="292">
        <v>3360</v>
      </c>
      <c r="I17" s="293">
        <v>0.89017857142857137</v>
      </c>
      <c r="J17" s="291" t="s">
        <v>907</v>
      </c>
      <c r="K17" s="291" t="s">
        <v>928</v>
      </c>
      <c r="L17" s="292" t="s">
        <v>909</v>
      </c>
    </row>
    <row r="18" spans="1:12" ht="15" customHeight="1" x14ac:dyDescent="0.25">
      <c r="A18" s="289" t="s">
        <v>904</v>
      </c>
      <c r="B18" s="290">
        <v>15</v>
      </c>
      <c r="C18" s="291" t="s">
        <v>929</v>
      </c>
      <c r="D18" s="288" t="s">
        <v>930</v>
      </c>
      <c r="E18" s="292">
        <v>19</v>
      </c>
      <c r="F18" s="292">
        <v>182</v>
      </c>
      <c r="G18" s="292">
        <v>5638</v>
      </c>
      <c r="H18" s="292">
        <v>8235</v>
      </c>
      <c r="I18" s="293">
        <v>0.68463873709775347</v>
      </c>
      <c r="J18" s="291" t="s">
        <v>907</v>
      </c>
      <c r="K18" s="291" t="s">
        <v>931</v>
      </c>
      <c r="L18" s="292" t="s">
        <v>909</v>
      </c>
    </row>
    <row r="19" spans="1:12" ht="15" customHeight="1" x14ac:dyDescent="0.25">
      <c r="A19" s="289" t="s">
        <v>904</v>
      </c>
      <c r="B19" s="290">
        <v>17</v>
      </c>
      <c r="C19" s="291" t="s">
        <v>932</v>
      </c>
      <c r="D19" s="288" t="s">
        <v>933</v>
      </c>
      <c r="E19" s="292">
        <v>10</v>
      </c>
      <c r="F19" s="292">
        <v>12</v>
      </c>
      <c r="G19" s="292">
        <v>889</v>
      </c>
      <c r="H19" s="292">
        <v>960</v>
      </c>
      <c r="I19" s="293">
        <v>0.92604166666666665</v>
      </c>
      <c r="J19" s="291" t="s">
        <v>907</v>
      </c>
      <c r="K19" s="291" t="s">
        <v>928</v>
      </c>
      <c r="L19" s="292" t="s">
        <v>909</v>
      </c>
    </row>
    <row r="20" spans="1:12" ht="15" customHeight="1" x14ac:dyDescent="0.25">
      <c r="A20" s="289" t="s">
        <v>904</v>
      </c>
      <c r="B20" s="290">
        <v>18</v>
      </c>
      <c r="C20" s="291" t="s">
        <v>934</v>
      </c>
      <c r="D20" s="288" t="s">
        <v>933</v>
      </c>
      <c r="E20" s="292">
        <v>9</v>
      </c>
      <c r="F20" s="292">
        <v>8</v>
      </c>
      <c r="G20" s="292">
        <v>810</v>
      </c>
      <c r="H20" s="292">
        <v>960</v>
      </c>
      <c r="I20" s="293">
        <v>0.84375</v>
      </c>
      <c r="J20" s="291" t="s">
        <v>907</v>
      </c>
      <c r="K20" s="291" t="s">
        <v>928</v>
      </c>
      <c r="L20" s="292" t="s">
        <v>909</v>
      </c>
    </row>
    <row r="21" spans="1:12" ht="15" customHeight="1" x14ac:dyDescent="0.25">
      <c r="A21" s="289" t="s">
        <v>904</v>
      </c>
      <c r="B21" s="290">
        <v>19</v>
      </c>
      <c r="C21" s="291" t="s">
        <v>935</v>
      </c>
      <c r="D21" s="288" t="s">
        <v>936</v>
      </c>
      <c r="E21" s="292">
        <v>6</v>
      </c>
      <c r="F21" s="292">
        <v>6</v>
      </c>
      <c r="G21" s="292">
        <v>635</v>
      </c>
      <c r="H21" s="292">
        <v>960</v>
      </c>
      <c r="I21" s="293">
        <v>0.66145833333333337</v>
      </c>
      <c r="J21" s="291" t="s">
        <v>907</v>
      </c>
      <c r="K21" s="291" t="s">
        <v>928</v>
      </c>
      <c r="L21" s="292" t="s">
        <v>909</v>
      </c>
    </row>
    <row r="22" spans="1:12" ht="15" customHeight="1" x14ac:dyDescent="0.25">
      <c r="A22" s="289" t="s">
        <v>904</v>
      </c>
      <c r="B22" s="290">
        <v>20</v>
      </c>
      <c r="C22" s="291" t="s">
        <v>937</v>
      </c>
      <c r="D22" s="288" t="s">
        <v>938</v>
      </c>
      <c r="E22" s="292">
        <v>71</v>
      </c>
      <c r="F22" s="292">
        <v>794</v>
      </c>
      <c r="G22" s="292">
        <v>30053</v>
      </c>
      <c r="H22" s="292">
        <v>44862</v>
      </c>
      <c r="I22" s="293">
        <v>0.66989880076679598</v>
      </c>
      <c r="J22" s="291" t="s">
        <v>907</v>
      </c>
      <c r="K22" s="291" t="s">
        <v>908</v>
      </c>
      <c r="L22" s="292" t="s">
        <v>909</v>
      </c>
    </row>
    <row r="23" spans="1:12" ht="15" customHeight="1" x14ac:dyDescent="0.25">
      <c r="A23" s="289" t="s">
        <v>904</v>
      </c>
      <c r="B23" s="290">
        <v>21</v>
      </c>
      <c r="C23" s="291" t="s">
        <v>939</v>
      </c>
      <c r="D23" s="288" t="s">
        <v>940</v>
      </c>
      <c r="E23" s="292">
        <v>3</v>
      </c>
      <c r="F23" s="292">
        <v>0</v>
      </c>
      <c r="G23" s="292">
        <v>525</v>
      </c>
      <c r="H23" s="292">
        <v>940</v>
      </c>
      <c r="I23" s="293">
        <v>0.55851063829787229</v>
      </c>
      <c r="J23" s="291" t="s">
        <v>907</v>
      </c>
      <c r="K23" s="291" t="s">
        <v>916</v>
      </c>
      <c r="L23" s="292" t="s">
        <v>909</v>
      </c>
    </row>
    <row r="24" spans="1:12" ht="15" customHeight="1" x14ac:dyDescent="0.25">
      <c r="A24" s="289" t="s">
        <v>904</v>
      </c>
      <c r="B24" s="290">
        <v>22</v>
      </c>
      <c r="C24" s="291" t="s">
        <v>941</v>
      </c>
      <c r="D24" s="288" t="s">
        <v>940</v>
      </c>
      <c r="E24" s="292">
        <v>2</v>
      </c>
      <c r="F24" s="292">
        <v>0</v>
      </c>
      <c r="G24" s="292">
        <v>493</v>
      </c>
      <c r="H24" s="292">
        <v>940</v>
      </c>
      <c r="I24" s="293">
        <v>0.52446808510638299</v>
      </c>
      <c r="J24" s="291" t="s">
        <v>907</v>
      </c>
      <c r="K24" s="291" t="s">
        <v>916</v>
      </c>
      <c r="L24" s="292" t="s">
        <v>909</v>
      </c>
    </row>
    <row r="25" spans="1:12" ht="15" customHeight="1" x14ac:dyDescent="0.25">
      <c r="A25" s="289" t="s">
        <v>904</v>
      </c>
      <c r="B25" s="290">
        <v>23</v>
      </c>
      <c r="C25" s="291" t="s">
        <v>942</v>
      </c>
      <c r="D25" s="288" t="s">
        <v>940</v>
      </c>
      <c r="E25" s="292">
        <v>36</v>
      </c>
      <c r="F25" s="292">
        <v>438</v>
      </c>
      <c r="G25" s="292">
        <v>14154</v>
      </c>
      <c r="H25" s="292">
        <v>25025</v>
      </c>
      <c r="I25" s="293">
        <v>0.56559440559440555</v>
      </c>
      <c r="J25" s="291" t="s">
        <v>907</v>
      </c>
      <c r="K25" s="291" t="s">
        <v>931</v>
      </c>
      <c r="L25" s="292" t="s">
        <v>909</v>
      </c>
    </row>
    <row r="26" spans="1:12" ht="15" customHeight="1" x14ac:dyDescent="0.25">
      <c r="A26" s="289" t="s">
        <v>904</v>
      </c>
      <c r="B26" s="290">
        <v>24</v>
      </c>
      <c r="C26" s="291" t="s">
        <v>943</v>
      </c>
      <c r="D26" s="288" t="s">
        <v>936</v>
      </c>
      <c r="E26" s="292">
        <v>1</v>
      </c>
      <c r="F26" s="292">
        <v>40</v>
      </c>
      <c r="G26" s="292">
        <v>1842</v>
      </c>
      <c r="H26" s="292">
        <v>1920</v>
      </c>
      <c r="I26" s="293">
        <v>0.95937499999999998</v>
      </c>
      <c r="J26" s="291" t="s">
        <v>907</v>
      </c>
      <c r="K26" s="291" t="s">
        <v>928</v>
      </c>
      <c r="L26" s="292" t="s">
        <v>909</v>
      </c>
    </row>
    <row r="27" spans="1:12" ht="15" customHeight="1" x14ac:dyDescent="0.25">
      <c r="A27" s="289" t="s">
        <v>904</v>
      </c>
      <c r="B27" s="290">
        <v>25</v>
      </c>
      <c r="C27" s="291" t="s">
        <v>944</v>
      </c>
      <c r="D27" s="288" t="s">
        <v>945</v>
      </c>
      <c r="E27" s="292">
        <v>26</v>
      </c>
      <c r="F27" s="292">
        <v>52</v>
      </c>
      <c r="G27" s="292">
        <v>12366</v>
      </c>
      <c r="H27" s="292">
        <v>15468</v>
      </c>
      <c r="I27" s="293">
        <v>0.79945694336695117</v>
      </c>
      <c r="J27" s="291" t="s">
        <v>907</v>
      </c>
      <c r="K27" s="291" t="s">
        <v>931</v>
      </c>
      <c r="L27" s="292" t="s">
        <v>909</v>
      </c>
    </row>
    <row r="28" spans="1:12" ht="15" customHeight="1" x14ac:dyDescent="0.25">
      <c r="A28" s="289" t="s">
        <v>904</v>
      </c>
      <c r="B28" s="290">
        <v>26</v>
      </c>
      <c r="C28" s="291" t="s">
        <v>946</v>
      </c>
      <c r="D28" s="288" t="s">
        <v>930</v>
      </c>
      <c r="E28" s="292">
        <v>6</v>
      </c>
      <c r="F28" s="292">
        <v>82</v>
      </c>
      <c r="G28" s="292">
        <v>2474</v>
      </c>
      <c r="H28" s="292">
        <v>2880</v>
      </c>
      <c r="I28" s="293">
        <v>0.85902777777777772</v>
      </c>
      <c r="J28" s="291" t="s">
        <v>907</v>
      </c>
      <c r="K28" s="291" t="s">
        <v>931</v>
      </c>
      <c r="L28" s="292" t="s">
        <v>909</v>
      </c>
    </row>
    <row r="29" spans="1:12" ht="15" customHeight="1" x14ac:dyDescent="0.25">
      <c r="A29" s="289" t="s">
        <v>904</v>
      </c>
      <c r="B29" s="290">
        <v>27</v>
      </c>
      <c r="C29" s="291" t="s">
        <v>947</v>
      </c>
      <c r="D29" s="288" t="s">
        <v>930</v>
      </c>
      <c r="E29" s="292">
        <v>1</v>
      </c>
      <c r="F29" s="292">
        <v>100</v>
      </c>
      <c r="G29" s="292">
        <v>1816</v>
      </c>
      <c r="H29" s="292">
        <v>1920</v>
      </c>
      <c r="I29" s="293">
        <v>0.9458333333333333</v>
      </c>
      <c r="J29" s="291" t="s">
        <v>907</v>
      </c>
      <c r="K29" s="291" t="s">
        <v>931</v>
      </c>
      <c r="L29" s="292" t="s">
        <v>909</v>
      </c>
    </row>
    <row r="30" spans="1:12" ht="15" customHeight="1" x14ac:dyDescent="0.25">
      <c r="A30" s="289" t="s">
        <v>904</v>
      </c>
      <c r="B30" s="290">
        <v>28</v>
      </c>
      <c r="C30" s="291" t="s">
        <v>948</v>
      </c>
      <c r="D30" s="288" t="s">
        <v>936</v>
      </c>
      <c r="E30" s="292">
        <v>1</v>
      </c>
      <c r="F30" s="292">
        <v>45</v>
      </c>
      <c r="G30" s="292">
        <v>900</v>
      </c>
      <c r="H30" s="292">
        <v>960</v>
      </c>
      <c r="I30" s="293">
        <v>0.9375</v>
      </c>
      <c r="J30" s="291" t="s">
        <v>907</v>
      </c>
      <c r="K30" s="291" t="s">
        <v>928</v>
      </c>
      <c r="L30" s="292" t="s">
        <v>909</v>
      </c>
    </row>
    <row r="31" spans="1:12" ht="15" customHeight="1" x14ac:dyDescent="0.25">
      <c r="A31" s="289" t="s">
        <v>904</v>
      </c>
      <c r="B31" s="290">
        <v>29</v>
      </c>
      <c r="C31" s="291" t="s">
        <v>949</v>
      </c>
      <c r="D31" s="288" t="s">
        <v>936</v>
      </c>
      <c r="E31" s="292">
        <v>1</v>
      </c>
      <c r="F31" s="292">
        <v>45</v>
      </c>
      <c r="G31" s="292">
        <v>900</v>
      </c>
      <c r="H31" s="292">
        <v>960</v>
      </c>
      <c r="I31" s="293">
        <v>0.9375</v>
      </c>
      <c r="J31" s="291" t="s">
        <v>907</v>
      </c>
      <c r="K31" s="291" t="s">
        <v>928</v>
      </c>
      <c r="L31" s="292" t="s">
        <v>909</v>
      </c>
    </row>
    <row r="32" spans="1:12" ht="15" customHeight="1" x14ac:dyDescent="0.25">
      <c r="A32" s="289" t="s">
        <v>904</v>
      </c>
      <c r="B32" s="290">
        <v>30</v>
      </c>
      <c r="C32" s="291" t="s">
        <v>950</v>
      </c>
      <c r="D32" s="288" t="s">
        <v>936</v>
      </c>
      <c r="E32" s="292">
        <v>1</v>
      </c>
      <c r="F32" s="292">
        <v>45</v>
      </c>
      <c r="G32" s="292">
        <v>900</v>
      </c>
      <c r="H32" s="292">
        <v>960</v>
      </c>
      <c r="I32" s="293">
        <v>0.9375</v>
      </c>
      <c r="J32" s="291" t="s">
        <v>907</v>
      </c>
      <c r="K32" s="291" t="s">
        <v>928</v>
      </c>
      <c r="L32" s="292" t="s">
        <v>909</v>
      </c>
    </row>
    <row r="33" spans="1:12" ht="15" customHeight="1" x14ac:dyDescent="0.25">
      <c r="A33" s="289" t="s">
        <v>904</v>
      </c>
      <c r="B33" s="290">
        <v>31</v>
      </c>
      <c r="C33" s="291" t="s">
        <v>951</v>
      </c>
      <c r="D33" s="288" t="s">
        <v>936</v>
      </c>
      <c r="E33" s="292">
        <v>1</v>
      </c>
      <c r="F33" s="292">
        <v>90</v>
      </c>
      <c r="G33" s="292">
        <v>1844</v>
      </c>
      <c r="H33" s="292">
        <v>1920</v>
      </c>
      <c r="I33" s="293">
        <v>0.9604166666666667</v>
      </c>
      <c r="J33" s="291" t="s">
        <v>907</v>
      </c>
      <c r="K33" s="291" t="s">
        <v>928</v>
      </c>
      <c r="L33" s="292" t="s">
        <v>909</v>
      </c>
    </row>
    <row r="34" spans="1:12" ht="15" customHeight="1" x14ac:dyDescent="0.25">
      <c r="A34" s="289" t="s">
        <v>904</v>
      </c>
      <c r="B34" s="290">
        <v>32</v>
      </c>
      <c r="C34" s="291" t="s">
        <v>952</v>
      </c>
      <c r="D34" s="288" t="s">
        <v>936</v>
      </c>
      <c r="E34" s="292">
        <v>1</v>
      </c>
      <c r="F34" s="292">
        <v>90</v>
      </c>
      <c r="G34" s="292">
        <v>1844</v>
      </c>
      <c r="H34" s="292">
        <v>1920</v>
      </c>
      <c r="I34" s="293">
        <v>0.9604166666666667</v>
      </c>
      <c r="J34" s="291" t="s">
        <v>907</v>
      </c>
      <c r="K34" s="291" t="s">
        <v>928</v>
      </c>
      <c r="L34" s="292" t="s">
        <v>909</v>
      </c>
    </row>
    <row r="35" spans="1:12" ht="15" customHeight="1" x14ac:dyDescent="0.25">
      <c r="A35" s="289" t="s">
        <v>904</v>
      </c>
      <c r="B35" s="290">
        <v>33</v>
      </c>
      <c r="C35" s="291" t="s">
        <v>953</v>
      </c>
      <c r="D35" s="288" t="s">
        <v>954</v>
      </c>
      <c r="E35" s="292">
        <v>1</v>
      </c>
      <c r="F35" s="292">
        <v>0</v>
      </c>
      <c r="G35" s="292">
        <v>180</v>
      </c>
      <c r="H35" s="292">
        <v>198</v>
      </c>
      <c r="I35" s="293">
        <v>0.90909090909090906</v>
      </c>
      <c r="J35" s="291" t="s">
        <v>907</v>
      </c>
      <c r="K35" s="291" t="s">
        <v>928</v>
      </c>
      <c r="L35" s="292" t="s">
        <v>909</v>
      </c>
    </row>
    <row r="36" spans="1:12" ht="15" customHeight="1" x14ac:dyDescent="0.25">
      <c r="A36" s="289" t="s">
        <v>904</v>
      </c>
      <c r="B36" s="290">
        <v>34</v>
      </c>
      <c r="C36" s="291" t="s">
        <v>955</v>
      </c>
      <c r="D36" s="288" t="s">
        <v>956</v>
      </c>
      <c r="E36" s="292">
        <v>1</v>
      </c>
      <c r="F36" s="292">
        <v>0</v>
      </c>
      <c r="G36" s="292">
        <v>98</v>
      </c>
      <c r="H36" s="292">
        <v>100</v>
      </c>
      <c r="I36" s="293">
        <v>0.98</v>
      </c>
      <c r="J36" s="291" t="s">
        <v>907</v>
      </c>
      <c r="K36" s="291" t="s">
        <v>928</v>
      </c>
      <c r="L36" s="292" t="s">
        <v>909</v>
      </c>
    </row>
    <row r="37" spans="1:12" ht="15" customHeight="1" x14ac:dyDescent="0.25">
      <c r="A37" s="289" t="s">
        <v>904</v>
      </c>
      <c r="B37" s="290">
        <v>35</v>
      </c>
      <c r="C37" s="291" t="s">
        <v>957</v>
      </c>
      <c r="D37" s="288" t="s">
        <v>936</v>
      </c>
      <c r="E37" s="292">
        <v>2</v>
      </c>
      <c r="F37" s="292">
        <v>0</v>
      </c>
      <c r="G37" s="292">
        <v>332</v>
      </c>
      <c r="H37" s="292">
        <v>415</v>
      </c>
      <c r="I37" s="293">
        <v>0.8</v>
      </c>
      <c r="J37" s="291" t="s">
        <v>907</v>
      </c>
      <c r="K37" s="291" t="s">
        <v>928</v>
      </c>
      <c r="L37" s="292" t="s">
        <v>909</v>
      </c>
    </row>
    <row r="38" spans="1:12" ht="15" customHeight="1" x14ac:dyDescent="0.25">
      <c r="A38" s="289" t="s">
        <v>904</v>
      </c>
      <c r="B38" s="290">
        <v>36</v>
      </c>
      <c r="C38" s="291" t="s">
        <v>958</v>
      </c>
      <c r="D38" s="288" t="s">
        <v>945</v>
      </c>
      <c r="E38" s="292">
        <v>1</v>
      </c>
      <c r="F38" s="292">
        <v>0</v>
      </c>
      <c r="G38" s="292">
        <v>620</v>
      </c>
      <c r="H38" s="292">
        <v>840</v>
      </c>
      <c r="I38" s="293">
        <v>0.73809523809523814</v>
      </c>
      <c r="J38" s="291" t="s">
        <v>907</v>
      </c>
      <c r="K38" s="291" t="s">
        <v>908</v>
      </c>
      <c r="L38" s="292" t="s">
        <v>909</v>
      </c>
    </row>
    <row r="39" spans="1:12" ht="15" customHeight="1" x14ac:dyDescent="0.25">
      <c r="A39" s="289" t="s">
        <v>904</v>
      </c>
      <c r="B39" s="290">
        <v>37</v>
      </c>
      <c r="C39" s="291" t="s">
        <v>959</v>
      </c>
      <c r="D39" s="288" t="s">
        <v>927</v>
      </c>
      <c r="E39" s="292">
        <v>1</v>
      </c>
      <c r="F39" s="292">
        <v>0</v>
      </c>
      <c r="G39" s="292">
        <v>234</v>
      </c>
      <c r="H39" s="292">
        <v>270</v>
      </c>
      <c r="I39" s="293">
        <v>0.8666666666666667</v>
      </c>
      <c r="J39" s="291" t="s">
        <v>907</v>
      </c>
      <c r="K39" s="291" t="s">
        <v>916</v>
      </c>
      <c r="L39" s="292" t="s">
        <v>909</v>
      </c>
    </row>
    <row r="40" spans="1:12" ht="15" customHeight="1" x14ac:dyDescent="0.25">
      <c r="A40" s="289" t="s">
        <v>904</v>
      </c>
      <c r="B40" s="290">
        <v>38</v>
      </c>
      <c r="C40" s="291" t="s">
        <v>960</v>
      </c>
      <c r="D40" s="288" t="s">
        <v>936</v>
      </c>
      <c r="E40" s="292">
        <v>2</v>
      </c>
      <c r="F40" s="292">
        <v>0</v>
      </c>
      <c r="G40" s="292">
        <v>114</v>
      </c>
      <c r="H40" s="292">
        <v>480</v>
      </c>
      <c r="I40" s="293">
        <v>0.23749999999999999</v>
      </c>
      <c r="J40" s="291" t="s">
        <v>907</v>
      </c>
      <c r="K40" s="291" t="s">
        <v>928</v>
      </c>
      <c r="L40" s="292" t="s">
        <v>909</v>
      </c>
    </row>
    <row r="41" spans="1:12" ht="20.100000000000001" customHeight="1" x14ac:dyDescent="0.25"/>
  </sheetData>
  <mergeCells count="2">
    <mergeCell ref="B1:L1"/>
    <mergeCell ref="A2:L2"/>
  </mergeCells>
  <printOptions gridLines="1"/>
  <pageMargins left="0.7" right="0.7" top="0.75" bottom="0.75" header="0.3" footer="0.3"/>
  <pageSetup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7" sqref="C7"/>
    </sheetView>
  </sheetViews>
  <sheetFormatPr defaultColWidth="9.140625" defaultRowHeight="12.75" x14ac:dyDescent="0.2"/>
  <cols>
    <col min="1" max="1" width="35.5703125" style="128" customWidth="1"/>
    <col min="2" max="4" width="17.28515625" style="128" customWidth="1"/>
    <col min="5" max="5" width="11.5703125" style="128" customWidth="1"/>
    <col min="6" max="16384" width="9.140625" style="128"/>
  </cols>
  <sheetData>
    <row r="1" spans="1:5" ht="21" x14ac:dyDescent="0.35">
      <c r="A1" s="385" t="s">
        <v>621</v>
      </c>
      <c r="B1" s="385"/>
      <c r="C1" s="385"/>
      <c r="D1" s="385"/>
      <c r="E1" s="385"/>
    </row>
    <row r="2" spans="1:5" ht="21" x14ac:dyDescent="0.35">
      <c r="A2" s="163"/>
      <c r="B2" s="163"/>
      <c r="C2" s="163"/>
      <c r="D2" s="163"/>
      <c r="E2" s="163"/>
    </row>
    <row r="3" spans="1:5" ht="15.75" x14ac:dyDescent="0.25">
      <c r="A3" s="143" t="s">
        <v>15</v>
      </c>
      <c r="B3" s="386" t="s">
        <v>1057</v>
      </c>
      <c r="C3" s="386"/>
      <c r="D3" s="386"/>
    </row>
    <row r="4" spans="1:5" ht="15.75" x14ac:dyDescent="0.25">
      <c r="A4" s="146" t="s">
        <v>16</v>
      </c>
      <c r="B4" s="387"/>
      <c r="C4" s="387"/>
      <c r="D4" s="387"/>
    </row>
    <row r="5" spans="1:5" ht="15.75" x14ac:dyDescent="0.25">
      <c r="A5" s="146"/>
      <c r="B5" s="144"/>
      <c r="C5" s="144"/>
      <c r="D5" s="145"/>
    </row>
    <row r="6" spans="1:5" ht="15.75" x14ac:dyDescent="0.25">
      <c r="A6" s="147"/>
      <c r="B6" s="147" t="s">
        <v>17</v>
      </c>
      <c r="C6" s="148" t="s">
        <v>1</v>
      </c>
      <c r="D6" s="148" t="s">
        <v>0</v>
      </c>
    </row>
    <row r="7" spans="1:5" ht="15.75" customHeight="1" x14ac:dyDescent="0.25">
      <c r="A7" s="149" t="s">
        <v>2</v>
      </c>
      <c r="B7" s="150">
        <f>'Expenses-Done'!H16</f>
        <v>0</v>
      </c>
      <c r="C7" s="150">
        <f>'Expenses-Done'!I16</f>
        <v>0</v>
      </c>
      <c r="D7" s="150">
        <f>'Expenses-Done'!J16</f>
        <v>0</v>
      </c>
    </row>
    <row r="8" spans="1:5" ht="15.75" customHeight="1" x14ac:dyDescent="0.25">
      <c r="A8" s="151"/>
      <c r="B8" s="152"/>
      <c r="C8" s="152"/>
      <c r="D8" s="152"/>
    </row>
    <row r="9" spans="1:5" ht="15.75" customHeight="1" x14ac:dyDescent="0.25">
      <c r="A9" s="151" t="s">
        <v>666</v>
      </c>
      <c r="B9" s="242">
        <f>'Expenses-Done'!G20</f>
        <v>0</v>
      </c>
      <c r="C9" s="242">
        <f>'Expenses-Done'!H20</f>
        <v>0</v>
      </c>
      <c r="D9" s="242">
        <f>'Expenses-Done'!I20</f>
        <v>0</v>
      </c>
    </row>
    <row r="10" spans="1:5" ht="15.75" customHeight="1" x14ac:dyDescent="0.25">
      <c r="A10" s="151"/>
      <c r="B10" s="152"/>
      <c r="C10" s="152"/>
      <c r="D10" s="152"/>
    </row>
    <row r="11" spans="1:5" ht="15.75" customHeight="1" x14ac:dyDescent="0.25">
      <c r="A11" s="161" t="s">
        <v>623</v>
      </c>
      <c r="B11" s="153">
        <f>'Expenses-Done'!G37</f>
        <v>0</v>
      </c>
      <c r="C11" s="153">
        <f>'Expenses-Done'!H37</f>
        <v>0</v>
      </c>
      <c r="D11" s="153">
        <f>'Expenses-Done'!I37</f>
        <v>0</v>
      </c>
    </row>
    <row r="12" spans="1:5" ht="15.75" customHeight="1" x14ac:dyDescent="0.25">
      <c r="A12" s="151"/>
      <c r="B12" s="152"/>
      <c r="C12" s="152"/>
      <c r="D12" s="152"/>
    </row>
    <row r="13" spans="1:5" ht="15.75" customHeight="1" x14ac:dyDescent="0.25">
      <c r="A13" s="151" t="s">
        <v>628</v>
      </c>
      <c r="B13" s="193">
        <f>'Expenses-Done'!G41</f>
        <v>0</v>
      </c>
      <c r="C13" s="193">
        <f>'Expenses-Done'!H41</f>
        <v>0</v>
      </c>
      <c r="D13" s="193">
        <f>'Expenses-Done'!I41</f>
        <v>0</v>
      </c>
    </row>
    <row r="14" spans="1:5" ht="15.75" customHeight="1" x14ac:dyDescent="0.25">
      <c r="A14" s="151"/>
      <c r="B14" s="152"/>
      <c r="C14" s="152"/>
      <c r="D14" s="152"/>
    </row>
    <row r="15" spans="1:5" ht="15.75" customHeight="1" x14ac:dyDescent="0.25">
      <c r="A15" s="149" t="s">
        <v>632</v>
      </c>
      <c r="B15" s="194">
        <f>'Expenses-Done'!G58</f>
        <v>0</v>
      </c>
      <c r="C15" s="194">
        <f>'Expenses-Done'!H58</f>
        <v>0</v>
      </c>
      <c r="D15" s="194">
        <f>'Expenses-Done'!I58</f>
        <v>0</v>
      </c>
    </row>
    <row r="16" spans="1:5" ht="15.75" customHeight="1" x14ac:dyDescent="0.25">
      <c r="A16" s="151"/>
      <c r="B16" s="152"/>
      <c r="C16" s="152"/>
      <c r="D16" s="152"/>
    </row>
    <row r="17" spans="1:5" ht="15.75" customHeight="1" x14ac:dyDescent="0.4">
      <c r="A17" s="146" t="s">
        <v>0</v>
      </c>
      <c r="B17" s="158">
        <f>SUM(B7:B15)</f>
        <v>0</v>
      </c>
      <c r="C17" s="158">
        <f>SUM(C7:C15)</f>
        <v>0</v>
      </c>
      <c r="D17" s="158">
        <f>SUM(D7:D15)</f>
        <v>0</v>
      </c>
    </row>
    <row r="18" spans="1:5" ht="15.75" x14ac:dyDescent="0.25">
      <c r="A18" s="146"/>
      <c r="B18" s="145"/>
      <c r="C18" s="154"/>
      <c r="D18" s="154"/>
      <c r="E18" s="130"/>
    </row>
    <row r="19" spans="1:5" ht="15.75" x14ac:dyDescent="0.25">
      <c r="A19" s="151"/>
      <c r="B19" s="144"/>
      <c r="C19" s="144"/>
      <c r="D19" s="145"/>
      <c r="E19" s="131"/>
    </row>
    <row r="20" spans="1:5" ht="15.75" x14ac:dyDescent="0.25">
      <c r="A20" s="145"/>
      <c r="B20" s="155"/>
      <c r="C20" s="145"/>
      <c r="D20" s="145"/>
    </row>
    <row r="21" spans="1:5" hidden="1" x14ac:dyDescent="0.2">
      <c r="A21" s="128" t="s">
        <v>18</v>
      </c>
      <c r="B21" s="129" t="e">
        <f>'Expenses-Done'!#REF!</f>
        <v>#REF!</v>
      </c>
    </row>
    <row r="22" spans="1:5" hidden="1" x14ac:dyDescent="0.2">
      <c r="B22" s="129"/>
    </row>
    <row r="23" spans="1:5" hidden="1" x14ac:dyDescent="0.2">
      <c r="A23" s="128" t="s">
        <v>19</v>
      </c>
      <c r="B23" s="129" t="e">
        <f>'Expenses-Done'!#REF!</f>
        <v>#REF!</v>
      </c>
    </row>
    <row r="24" spans="1:5" hidden="1" x14ac:dyDescent="0.2">
      <c r="B24" s="129"/>
    </row>
    <row r="25" spans="1:5" hidden="1" x14ac:dyDescent="0.2">
      <c r="A25" s="128" t="s">
        <v>20</v>
      </c>
      <c r="B25" s="132" t="e">
        <f>'Expenses-Done'!#REF!</f>
        <v>#REF!</v>
      </c>
    </row>
    <row r="26" spans="1:5" hidden="1" x14ac:dyDescent="0.2">
      <c r="B26" s="129" t="e">
        <f>SUM(B21:B25)</f>
        <v>#REF!</v>
      </c>
      <c r="D26" s="133"/>
    </row>
  </sheetData>
  <mergeCells count="3">
    <mergeCell ref="A1:E1"/>
    <mergeCell ref="B3:D3"/>
    <mergeCell ref="B4:D4"/>
  </mergeCells>
  <phoneticPr fontId="6" type="noConversion"/>
  <printOptions horizontalCentered="1"/>
  <pageMargins left="0.25" right="0.25" top="0.75"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J124"/>
  <sheetViews>
    <sheetView showZeros="0" tabSelected="1" zoomScale="96" zoomScaleNormal="96" workbookViewId="0">
      <selection sqref="A1:J1"/>
    </sheetView>
  </sheetViews>
  <sheetFormatPr defaultColWidth="9.140625" defaultRowHeight="12.75" x14ac:dyDescent="0.2"/>
  <cols>
    <col min="1" max="1" width="30.28515625" style="180" customWidth="1"/>
    <col min="2" max="2" width="21.28515625" style="180" customWidth="1"/>
    <col min="3" max="3" width="8.140625" style="180" customWidth="1"/>
    <col min="4" max="4" width="22.140625" style="180" customWidth="1"/>
    <col min="5" max="5" width="18.85546875" style="183" customWidth="1"/>
    <col min="6" max="6" width="17.85546875" style="183" customWidth="1"/>
    <col min="7" max="7" width="12.42578125" style="181" customWidth="1"/>
    <col min="8" max="9" width="13.140625" style="182" customWidth="1"/>
    <col min="10" max="10" width="12.42578125" style="182" customWidth="1"/>
    <col min="11" max="16384" width="9.140625" style="159"/>
  </cols>
  <sheetData>
    <row r="1" spans="1:10" ht="21" x14ac:dyDescent="0.35">
      <c r="A1" s="403" t="s">
        <v>622</v>
      </c>
      <c r="B1" s="403"/>
      <c r="C1" s="403"/>
      <c r="D1" s="403"/>
      <c r="E1" s="403"/>
      <c r="F1" s="403"/>
      <c r="G1" s="403"/>
      <c r="H1" s="403"/>
      <c r="I1" s="403"/>
      <c r="J1" s="403"/>
    </row>
    <row r="2" spans="1:10" ht="9.75" customHeight="1" x14ac:dyDescent="0.35">
      <c r="A2" s="212"/>
      <c r="B2" s="212"/>
      <c r="C2" s="212"/>
      <c r="D2" s="212"/>
      <c r="E2" s="212"/>
      <c r="F2" s="212"/>
      <c r="G2" s="212"/>
      <c r="H2" s="212"/>
      <c r="I2" s="212"/>
      <c r="J2" s="212"/>
    </row>
    <row r="3" spans="1:10" ht="49.5" customHeight="1" x14ac:dyDescent="0.3">
      <c r="A3" s="416" t="s">
        <v>2</v>
      </c>
      <c r="B3" s="416"/>
      <c r="C3" s="416"/>
      <c r="D3" s="418" t="s">
        <v>675</v>
      </c>
      <c r="E3" s="418"/>
      <c r="F3" s="418"/>
      <c r="G3" s="226" t="s">
        <v>687</v>
      </c>
      <c r="H3" s="226" t="s">
        <v>688</v>
      </c>
      <c r="I3" s="226" t="s">
        <v>689</v>
      </c>
      <c r="J3" s="226" t="s">
        <v>0</v>
      </c>
    </row>
    <row r="4" spans="1:10" s="164" customFormat="1" ht="15.75" customHeight="1" x14ac:dyDescent="0.25">
      <c r="A4" s="401" t="s">
        <v>499</v>
      </c>
      <c r="B4" s="401"/>
      <c r="C4" s="401"/>
      <c r="D4" s="407"/>
      <c r="E4" s="407"/>
      <c r="F4" s="407"/>
      <c r="G4" s="187"/>
      <c r="H4" s="243" t="str">
        <f>IF(D4="","",(VLOOKUP(D4,'Administrator Job Titles-Done'!$A$3:$G$140,3)))</f>
        <v/>
      </c>
      <c r="I4" s="243" t="str">
        <f>(IF(H4="","",ROUND((H4*'Fixed Costs-Done'!B12)+'Fixed Costs-Done'!E11,0)))</f>
        <v/>
      </c>
      <c r="J4" s="243" t="str">
        <f>IF(D4="","",(H4+I4))</f>
        <v/>
      </c>
    </row>
    <row r="5" spans="1:10" s="164" customFormat="1" ht="15.75" customHeight="1" x14ac:dyDescent="0.25">
      <c r="A5" s="401" t="s">
        <v>500</v>
      </c>
      <c r="B5" s="401"/>
      <c r="C5" s="401"/>
      <c r="D5" s="407"/>
      <c r="E5" s="407"/>
      <c r="F5" s="407"/>
      <c r="G5" s="187"/>
      <c r="H5" s="243" t="str">
        <f>IF(D5="","",(VLOOKUP(D5,'Administrator Job Titles-Done'!$A$3:$G$128,3)))</f>
        <v/>
      </c>
      <c r="I5" s="243" t="str">
        <f>(IF(H5="","",ROUND((H5*'Fixed Costs-Done'!B11)+'Fixed Costs-Done'!E11,0)))</f>
        <v/>
      </c>
      <c r="J5" s="243" t="str">
        <f>IF(D5="","",(H5+I5))</f>
        <v/>
      </c>
    </row>
    <row r="6" spans="1:10" s="164" customFormat="1" ht="15.75" customHeight="1" x14ac:dyDescent="0.25">
      <c r="A6" s="401" t="s">
        <v>753</v>
      </c>
      <c r="B6" s="401"/>
      <c r="C6" s="401"/>
      <c r="D6" s="407"/>
      <c r="E6" s="407"/>
      <c r="F6" s="407"/>
      <c r="G6" s="187"/>
      <c r="H6" s="243" t="str">
        <f>IF(D6="","",(VLOOKUP(D6,'Classified Job Titles-Done'!$A$2:$G$284,3)))</f>
        <v/>
      </c>
      <c r="I6" s="243" t="str">
        <f>IF(D6="","",(H6*'Fixed Costs-Done'!B11)+'Fixed Costs-Done'!E11)</f>
        <v/>
      </c>
      <c r="J6" s="243" t="str">
        <f>IF(D6="","",(H6+I6))</f>
        <v/>
      </c>
    </row>
    <row r="7" spans="1:10" s="164" customFormat="1" ht="15.75" customHeight="1" x14ac:dyDescent="0.25">
      <c r="A7" s="401" t="s">
        <v>754</v>
      </c>
      <c r="B7" s="401"/>
      <c r="C7" s="401"/>
      <c r="D7" s="407"/>
      <c r="E7" s="407"/>
      <c r="F7" s="407"/>
      <c r="G7" s="187"/>
      <c r="H7" s="243" t="str">
        <f>IF(D7="","",(VLOOKUP(D7,'Classified Job Titles-Done'!$A$2:$G$284,3)))</f>
        <v/>
      </c>
      <c r="I7" s="243" t="str">
        <f>IF(D7="","",(H7*'Fixed Costs-Done'!B11)+'Fixed Costs-Done'!E11)</f>
        <v/>
      </c>
      <c r="J7" s="243" t="str">
        <f>IF(D7="","",(H7+I7))</f>
        <v/>
      </c>
    </row>
    <row r="8" spans="1:10" s="164" customFormat="1" ht="15.75" customHeight="1" x14ac:dyDescent="0.25">
      <c r="A8" s="137" t="s">
        <v>679</v>
      </c>
      <c r="B8" s="253" t="s">
        <v>676</v>
      </c>
      <c r="C8" s="162"/>
      <c r="D8" s="407"/>
      <c r="E8" s="407"/>
      <c r="F8" s="407"/>
      <c r="G8" s="187"/>
      <c r="H8" s="243" t="str">
        <f>IF($D8="","",VLOOKUP(D8,'Classified Job Titles-Done'!$A$2:$G$284,3)*C8)</f>
        <v/>
      </c>
      <c r="I8" s="243" t="str">
        <f>IF(C8="","",IF($C8&gt;=0.5,IF($D8="","",((H8*'Fixed Costs-Done'!B11)+('Fixed Costs-Done'!E11*C8))),(H8*'Fixed Costs-Done'!B13)))</f>
        <v/>
      </c>
      <c r="J8" s="243" t="str">
        <f>IF(C8="","",(H8+I8))</f>
        <v/>
      </c>
    </row>
    <row r="9" spans="1:10" s="164" customFormat="1" ht="15.75" customHeight="1" x14ac:dyDescent="0.25">
      <c r="A9" s="137" t="s">
        <v>680</v>
      </c>
      <c r="B9" s="253" t="s">
        <v>677</v>
      </c>
      <c r="C9" s="162"/>
      <c r="D9" s="410" t="s">
        <v>1107</v>
      </c>
      <c r="E9" s="410"/>
      <c r="F9" s="410"/>
      <c r="G9" s="187"/>
      <c r="H9" s="243" t="str">
        <f>IF(OR(C9="",C9=0),"",C9*'TCP Full Time Fac-Done'!C1)</f>
        <v/>
      </c>
      <c r="I9" s="243" t="str">
        <f>IF(OR(C9=0,C9=""),"",((H9*'Fixed Costs-Done'!B12)+('Fixed Costs-Done'!E11*C9)))</f>
        <v/>
      </c>
      <c r="J9" s="243" t="str">
        <f>IF(C9=0,"",(H9+I9))</f>
        <v/>
      </c>
    </row>
    <row r="10" spans="1:10" s="164" customFormat="1" ht="15.75" customHeight="1" x14ac:dyDescent="0.25">
      <c r="A10" s="137" t="s">
        <v>681</v>
      </c>
      <c r="B10" s="253" t="s">
        <v>677</v>
      </c>
      <c r="C10" s="162"/>
      <c r="D10" s="410" t="s">
        <v>1108</v>
      </c>
      <c r="E10" s="410"/>
      <c r="F10" s="410"/>
      <c r="G10" s="187"/>
      <c r="H10" s="243" t="str">
        <f>IF(OR(C10="",C10=0),"",C10*'TCP Full Time CounsLib-Done'!C1)</f>
        <v/>
      </c>
      <c r="I10" s="243" t="str">
        <f>IF(OR(C10="",C10=0),"",(H10*'Fixed Costs-Done'!B12)+(C10*'Fixed Costs-Done'!E11))</f>
        <v/>
      </c>
      <c r="J10" s="243" t="str">
        <f>IF(H10="","",(H10+I10))</f>
        <v/>
      </c>
    </row>
    <row r="11" spans="1:10" s="164" customFormat="1" ht="36" customHeight="1" x14ac:dyDescent="0.25">
      <c r="A11" s="184"/>
      <c r="B11" s="248"/>
      <c r="C11" s="165"/>
      <c r="D11" s="160" t="s">
        <v>674</v>
      </c>
      <c r="E11" s="244" t="s">
        <v>625</v>
      </c>
      <c r="F11" s="160" t="s">
        <v>673</v>
      </c>
      <c r="G11" s="166"/>
      <c r="H11" s="167"/>
      <c r="I11" s="167"/>
      <c r="J11" s="185"/>
    </row>
    <row r="12" spans="1:10" s="164" customFormat="1" ht="15.75" customHeight="1" x14ac:dyDescent="0.25">
      <c r="A12" s="137" t="s">
        <v>682</v>
      </c>
      <c r="B12" s="253" t="s">
        <v>678</v>
      </c>
      <c r="C12" s="162"/>
      <c r="D12" s="138"/>
      <c r="E12" s="245" t="str">
        <f>IF(D12="","",(VLOOKUP(D12,'Short Term Non Classified-Done'!A1:B116,2)))</f>
        <v/>
      </c>
      <c r="F12" s="157" t="s">
        <v>765</v>
      </c>
      <c r="G12" s="243" t="str">
        <f>IF(AND(C12&gt;0,F12="no"),ROUND(C12*E12,0),"0")</f>
        <v>0</v>
      </c>
      <c r="H12" s="243" t="str">
        <f>IF(AND(C12&gt;0,F12="Yes"),ROUND(C12*E12,0),"0")</f>
        <v>0</v>
      </c>
      <c r="I12" s="243" t="str">
        <f>IF(D12="","",((G12+H12)*'Fixed Costs-Done'!B13))</f>
        <v/>
      </c>
      <c r="J12" s="243" t="str">
        <f>IF(D12="","",(G12+H12+I12))</f>
        <v/>
      </c>
    </row>
    <row r="13" spans="1:10" s="164" customFormat="1" ht="15.75" customHeight="1" x14ac:dyDescent="0.25">
      <c r="A13" s="137" t="s">
        <v>683</v>
      </c>
      <c r="B13" s="253" t="s">
        <v>678</v>
      </c>
      <c r="C13" s="162"/>
      <c r="D13" s="138"/>
      <c r="E13" s="245" t="str">
        <f>IF(D13="","",(VLOOKUP(D13,'Student Employment-Done'!A3:E8,5)))</f>
        <v/>
      </c>
      <c r="F13" s="157" t="s">
        <v>686</v>
      </c>
      <c r="G13" s="243" t="str">
        <f>IF(AND(C13&gt;0,F13="no"),ROUND(C13*E13,0),"0")</f>
        <v>0</v>
      </c>
      <c r="H13" s="243" t="str">
        <f>IF(AND(C13&gt;0,F13="Yes"),ROUND(C13*E13,0),"0")</f>
        <v>0</v>
      </c>
      <c r="I13" s="243" t="str">
        <f>IF(D13="","",((G13+H13)*'Fixed Costs-Done'!B14))</f>
        <v/>
      </c>
      <c r="J13" s="243" t="str">
        <f>IF(D13="","",(G13+H13+I13))</f>
        <v/>
      </c>
    </row>
    <row r="14" spans="1:10" s="164" customFormat="1" ht="15.75" customHeight="1" x14ac:dyDescent="0.25">
      <c r="A14" s="137" t="s">
        <v>684</v>
      </c>
      <c r="B14" s="253" t="s">
        <v>1058</v>
      </c>
      <c r="C14" s="162"/>
      <c r="D14" s="407" t="s">
        <v>1134</v>
      </c>
      <c r="E14" s="407"/>
      <c r="F14" s="157" t="s">
        <v>765</v>
      </c>
      <c r="G14" s="243">
        <f>IF($B$14="Enter FTE Load",IF($F$14="No",ROUND($C$14*'TCP Assoc Fac-Done'!$C$16,0),"0"),IF($F$14="No",ROUND($C$14*82.75,0),"0"))</f>
        <v>0</v>
      </c>
      <c r="H14" s="243" t="str">
        <f>IF($B$14="Enter FTE Load",IF($F$14="Yes",ROUND($C$14*'TCP Assoc Fac-Done'!$C$16,0),"0"),IF($F$14="Yes",ROUND($C$14*82.75,0),"0"))</f>
        <v>0</v>
      </c>
      <c r="I14" s="243" t="str">
        <f>IF(C14="","",((G14+H14)*0.1833))</f>
        <v/>
      </c>
      <c r="J14" s="243" t="str">
        <f>IF(C14="","",(G14+H14+I14))</f>
        <v/>
      </c>
    </row>
    <row r="15" spans="1:10" s="164" customFormat="1" ht="15.75" customHeight="1" x14ac:dyDescent="0.25">
      <c r="A15" s="137" t="s">
        <v>685</v>
      </c>
      <c r="B15" s="253" t="s">
        <v>678</v>
      </c>
      <c r="C15" s="162"/>
      <c r="D15" s="407" t="s">
        <v>1135</v>
      </c>
      <c r="E15" s="407"/>
      <c r="F15" s="213" t="s">
        <v>686</v>
      </c>
      <c r="G15" s="243" t="str">
        <f>IF($B$15="Enter FTE Load",IF($F$15="No",ROUND($C$15*'TCP Assoc Fac-Done'!$C$16,0),"0"),IF($F$15="No",ROUND($C$15*82.75,0),"0"))</f>
        <v>0</v>
      </c>
      <c r="H15" s="243">
        <f>IF($B$15="Enter FTE Load",IF($F$15="Yes",ROUND($C$15*'TCP Assoc Fac-Done'!$C$16,0),"0"),IF($F$15="Yes",ROUND($C$15*77.55,0),"0"))</f>
        <v>0</v>
      </c>
      <c r="I15" s="243" t="str">
        <f>IF(C15="","",((G15+H15)*0.1833))</f>
        <v/>
      </c>
      <c r="J15" s="243" t="str">
        <f>IF(C15="","",(G15+H15+I15))</f>
        <v/>
      </c>
    </row>
    <row r="16" spans="1:10" s="164" customFormat="1" ht="21" customHeight="1" x14ac:dyDescent="0.3">
      <c r="A16" s="390" t="s">
        <v>3</v>
      </c>
      <c r="B16" s="391"/>
      <c r="C16" s="391"/>
      <c r="D16" s="409"/>
      <c r="E16" s="409"/>
      <c r="F16" s="409"/>
      <c r="G16" s="188">
        <f>SUM(G4:G15)</f>
        <v>0</v>
      </c>
      <c r="H16" s="188">
        <f>SUM(H4:H15)</f>
        <v>0</v>
      </c>
      <c r="I16" s="188">
        <f>SUM(I4:I15)</f>
        <v>0</v>
      </c>
      <c r="J16" s="188">
        <f>SUM(J4:J15)</f>
        <v>0</v>
      </c>
    </row>
    <row r="17" spans="1:10" s="164" customFormat="1" ht="9" customHeight="1" x14ac:dyDescent="0.3">
      <c r="A17" s="214"/>
      <c r="B17" s="215"/>
      <c r="C17" s="215"/>
      <c r="D17" s="216"/>
      <c r="E17" s="216"/>
      <c r="F17" s="216"/>
      <c r="G17" s="156"/>
      <c r="H17" s="217"/>
      <c r="I17" s="217"/>
      <c r="J17" s="218"/>
    </row>
    <row r="18" spans="1:10" s="164" customFormat="1" ht="33.75" customHeight="1" x14ac:dyDescent="0.3">
      <c r="A18" s="227" t="s">
        <v>665</v>
      </c>
      <c r="B18" s="249"/>
      <c r="C18" s="228"/>
      <c r="D18" s="229"/>
      <c r="E18" s="229"/>
      <c r="F18" s="229"/>
      <c r="G18" s="230" t="s">
        <v>31</v>
      </c>
      <c r="H18" s="230" t="s">
        <v>1</v>
      </c>
      <c r="I18" s="230" t="s">
        <v>0</v>
      </c>
      <c r="J18" s="156"/>
    </row>
    <row r="19" spans="1:10" s="164" customFormat="1" ht="20.25" customHeight="1" x14ac:dyDescent="0.25">
      <c r="A19" s="134" t="s">
        <v>663</v>
      </c>
      <c r="B19" s="250"/>
      <c r="C19" s="419" t="s">
        <v>667</v>
      </c>
      <c r="D19" s="420"/>
      <c r="E19" s="420"/>
      <c r="F19" s="421"/>
      <c r="G19" s="135" t="str">
        <f>IF($C$9&gt;0,(($C$9+$C$10)*4000),IF($C$10&gt;0,(($C$9+$C$10)*4000),""))</f>
        <v/>
      </c>
      <c r="H19" s="187"/>
      <c r="I19" s="139" t="str">
        <f>IF(G19="","",G19)</f>
        <v/>
      </c>
      <c r="J19" s="156"/>
    </row>
    <row r="20" spans="1:10" s="164" customFormat="1" ht="21" customHeight="1" x14ac:dyDescent="0.3">
      <c r="A20" s="390" t="s">
        <v>664</v>
      </c>
      <c r="B20" s="391"/>
      <c r="C20" s="391"/>
      <c r="D20" s="392"/>
      <c r="E20" s="392"/>
      <c r="F20" s="392"/>
      <c r="G20" s="188">
        <f>SUM(G19)</f>
        <v>0</v>
      </c>
      <c r="H20" s="188"/>
      <c r="I20" s="189">
        <f>SUM(I19)</f>
        <v>0</v>
      </c>
      <c r="J20" s="156"/>
    </row>
    <row r="21" spans="1:10" s="164" customFormat="1" ht="9" customHeight="1" x14ac:dyDescent="0.3">
      <c r="A21" s="214"/>
      <c r="B21" s="215"/>
      <c r="C21" s="219"/>
      <c r="D21" s="220"/>
      <c r="E21" s="220"/>
      <c r="F21" s="220"/>
      <c r="G21" s="218"/>
      <c r="H21" s="218"/>
      <c r="I21" s="218"/>
      <c r="J21" s="156"/>
    </row>
    <row r="22" spans="1:10" s="164" customFormat="1" ht="21" customHeight="1" x14ac:dyDescent="0.3">
      <c r="A22" s="223" t="s">
        <v>662</v>
      </c>
      <c r="B22" s="251"/>
      <c r="C22" s="224"/>
      <c r="D22" s="225"/>
      <c r="E22" s="225"/>
      <c r="F22" s="221"/>
      <c r="G22" s="222"/>
      <c r="H22" s="222"/>
      <c r="I22" s="222"/>
      <c r="J22" s="156"/>
    </row>
    <row r="23" spans="1:10" s="164" customFormat="1" ht="37.5" customHeight="1" x14ac:dyDescent="0.3">
      <c r="A23" s="231" t="s">
        <v>616</v>
      </c>
      <c r="B23" s="231"/>
      <c r="C23" s="232" t="s">
        <v>30</v>
      </c>
      <c r="D23" s="408" t="s">
        <v>617</v>
      </c>
      <c r="E23" s="408"/>
      <c r="F23" s="408"/>
      <c r="G23" s="233" t="s">
        <v>31</v>
      </c>
      <c r="H23" s="233" t="s">
        <v>1</v>
      </c>
      <c r="I23" s="233" t="s">
        <v>0</v>
      </c>
    </row>
    <row r="24" spans="1:10" s="164" customFormat="1" ht="15.75" x14ac:dyDescent="0.25">
      <c r="A24" s="136" t="s">
        <v>619</v>
      </c>
      <c r="B24" s="136"/>
      <c r="C24" s="141"/>
      <c r="D24" s="395"/>
      <c r="E24" s="395"/>
      <c r="F24" s="395"/>
      <c r="G24" s="135"/>
      <c r="H24" s="187"/>
      <c r="I24" s="139">
        <f>G24</f>
        <v>0</v>
      </c>
    </row>
    <row r="25" spans="1:10" s="164" customFormat="1" ht="31.5" x14ac:dyDescent="0.25">
      <c r="A25" s="136" t="s">
        <v>7</v>
      </c>
      <c r="B25" s="136"/>
      <c r="C25" s="141"/>
      <c r="D25" s="395"/>
      <c r="E25" s="395"/>
      <c r="F25" s="395"/>
      <c r="G25" s="135"/>
      <c r="H25" s="135"/>
      <c r="I25" s="139">
        <f>G25+H25</f>
        <v>0</v>
      </c>
    </row>
    <row r="26" spans="1:10" s="164" customFormat="1" ht="15.75" x14ac:dyDescent="0.25">
      <c r="A26" s="136" t="s">
        <v>5</v>
      </c>
      <c r="B26" s="136"/>
      <c r="C26" s="141"/>
      <c r="D26" s="395"/>
      <c r="E26" s="395"/>
      <c r="F26" s="395"/>
      <c r="G26" s="135"/>
      <c r="H26" s="187"/>
      <c r="I26" s="139">
        <f>G26</f>
        <v>0</v>
      </c>
    </row>
    <row r="27" spans="1:10" s="164" customFormat="1" ht="15.75" x14ac:dyDescent="0.25">
      <c r="A27" s="136" t="s">
        <v>6</v>
      </c>
      <c r="B27" s="136"/>
      <c r="C27" s="141"/>
      <c r="D27" s="395"/>
      <c r="E27" s="395"/>
      <c r="F27" s="395"/>
      <c r="G27" s="135"/>
      <c r="H27" s="187"/>
      <c r="I27" s="139">
        <f>G27</f>
        <v>0</v>
      </c>
    </row>
    <row r="28" spans="1:10" s="164" customFormat="1" ht="15.75" x14ac:dyDescent="0.25">
      <c r="A28" s="137" t="s">
        <v>21</v>
      </c>
      <c r="B28" s="137"/>
      <c r="C28" s="187"/>
      <c r="D28" s="395"/>
      <c r="E28" s="395"/>
      <c r="F28" s="395"/>
      <c r="G28" s="135"/>
      <c r="H28" s="190"/>
      <c r="I28" s="139">
        <f>G28+H28</f>
        <v>0</v>
      </c>
    </row>
    <row r="29" spans="1:10" s="164" customFormat="1" ht="15" customHeight="1" x14ac:dyDescent="0.25">
      <c r="A29" s="136" t="s">
        <v>618</v>
      </c>
      <c r="B29" s="136"/>
      <c r="C29" s="187"/>
      <c r="D29" s="395"/>
      <c r="E29" s="395"/>
      <c r="F29" s="395"/>
      <c r="G29" s="135"/>
      <c r="H29" s="190"/>
      <c r="I29" s="139">
        <f t="shared" ref="I29:I36" si="0">G29+H29</f>
        <v>0</v>
      </c>
    </row>
    <row r="30" spans="1:10" s="164" customFormat="1" ht="15" customHeight="1" x14ac:dyDescent="0.25">
      <c r="A30" s="136" t="s">
        <v>668</v>
      </c>
      <c r="B30" s="136"/>
      <c r="C30" s="141"/>
      <c r="D30" s="395"/>
      <c r="E30" s="395"/>
      <c r="F30" s="395"/>
      <c r="G30" s="243" t="str">
        <f>IF($D30="","",VLOOKUP(D30,#REF!,4)*C30)</f>
        <v/>
      </c>
      <c r="H30" s="187"/>
      <c r="I30" s="139" t="str">
        <f>G30</f>
        <v/>
      </c>
    </row>
    <row r="31" spans="1:10" s="164" customFormat="1" ht="15" customHeight="1" x14ac:dyDescent="0.25">
      <c r="A31" s="136" t="s">
        <v>669</v>
      </c>
      <c r="B31" s="136"/>
      <c r="C31" s="141"/>
      <c r="D31" s="395"/>
      <c r="E31" s="395"/>
      <c r="F31" s="395"/>
      <c r="G31" s="243" t="str">
        <f>IF($D31="","",VLOOKUP(D31,#REF!,4)*C31)</f>
        <v/>
      </c>
      <c r="H31" s="187"/>
      <c r="I31" s="139" t="str">
        <f>G31</f>
        <v/>
      </c>
    </row>
    <row r="32" spans="1:10" s="164" customFormat="1" ht="15.75" x14ac:dyDescent="0.25">
      <c r="A32" s="136" t="s">
        <v>22</v>
      </c>
      <c r="B32" s="136"/>
      <c r="C32" s="187"/>
      <c r="D32" s="395"/>
      <c r="E32" s="395"/>
      <c r="F32" s="395"/>
      <c r="G32" s="135"/>
      <c r="H32" s="190"/>
      <c r="I32" s="139">
        <f t="shared" si="0"/>
        <v>0</v>
      </c>
    </row>
    <row r="33" spans="1:9" s="164" customFormat="1" ht="15.75" x14ac:dyDescent="0.25">
      <c r="A33" s="136" t="s">
        <v>23</v>
      </c>
      <c r="B33" s="136"/>
      <c r="C33" s="187"/>
      <c r="D33" s="395"/>
      <c r="E33" s="395"/>
      <c r="F33" s="395"/>
      <c r="G33" s="135"/>
      <c r="H33" s="190"/>
      <c r="I33" s="139">
        <f t="shared" si="0"/>
        <v>0</v>
      </c>
    </row>
    <row r="34" spans="1:9" s="164" customFormat="1" ht="15.75" x14ac:dyDescent="0.25">
      <c r="A34" s="136" t="s">
        <v>8</v>
      </c>
      <c r="B34" s="136"/>
      <c r="C34" s="187"/>
      <c r="D34" s="395"/>
      <c r="E34" s="395"/>
      <c r="F34" s="395"/>
      <c r="G34" s="135"/>
      <c r="H34" s="190"/>
      <c r="I34" s="139">
        <f t="shared" si="0"/>
        <v>0</v>
      </c>
    </row>
    <row r="35" spans="1:9" s="164" customFormat="1" ht="15.75" x14ac:dyDescent="0.25">
      <c r="A35" s="136" t="s">
        <v>9</v>
      </c>
      <c r="B35" s="136"/>
      <c r="C35" s="187"/>
      <c r="D35" s="395"/>
      <c r="E35" s="395"/>
      <c r="F35" s="395"/>
      <c r="G35" s="135"/>
      <c r="H35" s="190"/>
      <c r="I35" s="139">
        <f t="shared" si="0"/>
        <v>0</v>
      </c>
    </row>
    <row r="36" spans="1:9" s="164" customFormat="1" ht="15.75" x14ac:dyDescent="0.25">
      <c r="A36" s="136" t="s">
        <v>24</v>
      </c>
      <c r="B36" s="136"/>
      <c r="C36" s="187"/>
      <c r="D36" s="395"/>
      <c r="E36" s="395"/>
      <c r="F36" s="395"/>
      <c r="G36" s="135"/>
      <c r="H36" s="190"/>
      <c r="I36" s="139">
        <f t="shared" si="0"/>
        <v>0</v>
      </c>
    </row>
    <row r="37" spans="1:9" s="164" customFormat="1" ht="21.75" customHeight="1" x14ac:dyDescent="0.3">
      <c r="A37" s="390" t="s">
        <v>629</v>
      </c>
      <c r="B37" s="391"/>
      <c r="C37" s="391"/>
      <c r="D37" s="392"/>
      <c r="E37" s="392"/>
      <c r="F37" s="392"/>
      <c r="G37" s="188">
        <f>SUM(G24:G36)</f>
        <v>0</v>
      </c>
      <c r="H37" s="188">
        <f>SUM(H24:H36)</f>
        <v>0</v>
      </c>
      <c r="I37" s="189">
        <f>SUM(I24:I36)</f>
        <v>0</v>
      </c>
    </row>
    <row r="38" spans="1:9" s="164" customFormat="1" ht="9.75" customHeight="1" x14ac:dyDescent="0.25">
      <c r="A38" s="186"/>
      <c r="B38" s="168"/>
      <c r="C38" s="172"/>
      <c r="D38" s="169"/>
      <c r="E38" s="169"/>
      <c r="F38" s="169"/>
      <c r="G38" s="170"/>
      <c r="H38" s="166"/>
      <c r="I38" s="171"/>
    </row>
    <row r="39" spans="1:9" s="164" customFormat="1" ht="32.25" x14ac:dyDescent="0.3">
      <c r="A39" s="234" t="s">
        <v>628</v>
      </c>
      <c r="B39" s="252"/>
      <c r="C39" s="235" t="s">
        <v>30</v>
      </c>
      <c r="D39" s="417"/>
      <c r="E39" s="417"/>
      <c r="F39" s="417"/>
      <c r="G39" s="236"/>
      <c r="H39" s="236"/>
      <c r="I39" s="237"/>
    </row>
    <row r="40" spans="1:9" s="164" customFormat="1" ht="24" customHeight="1" x14ac:dyDescent="0.3">
      <c r="A40" s="134" t="s">
        <v>4</v>
      </c>
      <c r="B40" s="134"/>
      <c r="C40" s="141"/>
      <c r="D40" s="398" t="s">
        <v>620</v>
      </c>
      <c r="E40" s="398"/>
      <c r="F40" s="398"/>
      <c r="G40" s="209">
        <f>Technology!D8</f>
        <v>0</v>
      </c>
      <c r="H40" s="209">
        <f>Technology!D21</f>
        <v>0</v>
      </c>
      <c r="I40" s="210">
        <f>G40+H40</f>
        <v>0</v>
      </c>
    </row>
    <row r="41" spans="1:9" s="164" customFormat="1" ht="24.75" customHeight="1" x14ac:dyDescent="0.3">
      <c r="A41" s="390" t="s">
        <v>630</v>
      </c>
      <c r="B41" s="391"/>
      <c r="C41" s="391"/>
      <c r="D41" s="392"/>
      <c r="E41" s="392"/>
      <c r="F41" s="392"/>
      <c r="G41" s="188">
        <f>SUM(G40)</f>
        <v>0</v>
      </c>
      <c r="H41" s="188">
        <f>SUM(H40)</f>
        <v>0</v>
      </c>
      <c r="I41" s="189">
        <f>SUM(I40)</f>
        <v>0</v>
      </c>
    </row>
    <row r="42" spans="1:9" s="164" customFormat="1" ht="11.25" customHeight="1" x14ac:dyDescent="0.3">
      <c r="A42" s="411"/>
      <c r="B42" s="412"/>
      <c r="C42" s="412"/>
      <c r="D42" s="393"/>
      <c r="E42" s="393"/>
      <c r="F42" s="393"/>
      <c r="G42" s="156"/>
      <c r="H42" s="174"/>
      <c r="I42" s="171"/>
    </row>
    <row r="43" spans="1:9" s="164" customFormat="1" ht="21.75" customHeight="1" x14ac:dyDescent="0.3">
      <c r="A43" s="404" t="s">
        <v>670</v>
      </c>
      <c r="B43" s="405"/>
      <c r="C43" s="405"/>
      <c r="D43" s="405"/>
      <c r="E43" s="405"/>
      <c r="F43" s="405"/>
      <c r="G43" s="405"/>
      <c r="H43" s="405"/>
      <c r="I43" s="406"/>
    </row>
    <row r="44" spans="1:9" s="164" customFormat="1" ht="37.5" customHeight="1" x14ac:dyDescent="0.3">
      <c r="A44" s="400" t="s">
        <v>671</v>
      </c>
      <c r="B44" s="400"/>
      <c r="C44" s="400"/>
      <c r="D44" s="399" t="s">
        <v>617</v>
      </c>
      <c r="E44" s="399"/>
      <c r="F44" s="399"/>
      <c r="G44" s="238" t="s">
        <v>31</v>
      </c>
      <c r="H44" s="238" t="s">
        <v>1</v>
      </c>
      <c r="I44" s="238" t="s">
        <v>0</v>
      </c>
    </row>
    <row r="45" spans="1:9" s="164" customFormat="1" ht="18.75" x14ac:dyDescent="0.3">
      <c r="A45" s="395" t="s">
        <v>10</v>
      </c>
      <c r="B45" s="395"/>
      <c r="C45" s="395"/>
      <c r="D45" s="394"/>
      <c r="E45" s="394"/>
      <c r="F45" s="394"/>
      <c r="G45" s="140"/>
      <c r="H45" s="187"/>
      <c r="I45" s="139">
        <f>G45+H45</f>
        <v>0</v>
      </c>
    </row>
    <row r="46" spans="1:9" s="164" customFormat="1" ht="18.75" x14ac:dyDescent="0.3">
      <c r="A46" s="395" t="s">
        <v>11</v>
      </c>
      <c r="B46" s="395"/>
      <c r="C46" s="395"/>
      <c r="D46" s="394"/>
      <c r="E46" s="394"/>
      <c r="F46" s="394"/>
      <c r="G46" s="140"/>
      <c r="H46" s="187"/>
      <c r="I46" s="139">
        <f>G46+H46</f>
        <v>0</v>
      </c>
    </row>
    <row r="47" spans="1:9" s="164" customFormat="1" ht="18.75" x14ac:dyDescent="0.3">
      <c r="A47" s="395" t="s">
        <v>12</v>
      </c>
      <c r="B47" s="395"/>
      <c r="C47" s="395"/>
      <c r="D47" s="394"/>
      <c r="E47" s="394"/>
      <c r="F47" s="394"/>
      <c r="G47" s="140"/>
      <c r="H47" s="187"/>
      <c r="I47" s="139">
        <f>G47+H47</f>
        <v>0</v>
      </c>
    </row>
    <row r="48" spans="1:9" s="164" customFormat="1" ht="18.75" x14ac:dyDescent="0.3">
      <c r="A48" s="395" t="s">
        <v>29</v>
      </c>
      <c r="B48" s="395"/>
      <c r="C48" s="395"/>
      <c r="D48" s="394"/>
      <c r="E48" s="394"/>
      <c r="F48" s="394"/>
      <c r="G48" s="140"/>
      <c r="H48" s="187"/>
      <c r="I48" s="139">
        <f>G48+H48</f>
        <v>0</v>
      </c>
    </row>
    <row r="49" spans="1:10" s="164" customFormat="1" ht="18.75" x14ac:dyDescent="0.3">
      <c r="A49" s="390" t="s">
        <v>13</v>
      </c>
      <c r="B49" s="391"/>
      <c r="C49" s="391"/>
      <c r="D49" s="392"/>
      <c r="E49" s="392"/>
      <c r="F49" s="392"/>
      <c r="G49" s="191">
        <f>SUM(G45:G48)</f>
        <v>0</v>
      </c>
      <c r="H49" s="191">
        <f>SUM(H45:H48)</f>
        <v>0</v>
      </c>
      <c r="I49" s="192">
        <f>SUM(I45:I48)</f>
        <v>0</v>
      </c>
    </row>
    <row r="50" spans="1:10" s="164" customFormat="1" ht="10.5" customHeight="1" x14ac:dyDescent="0.3">
      <c r="A50" s="414"/>
      <c r="B50" s="415"/>
      <c r="C50" s="415"/>
      <c r="D50" s="393"/>
      <c r="E50" s="393"/>
      <c r="F50" s="393"/>
      <c r="G50" s="175"/>
      <c r="H50" s="175"/>
      <c r="I50" s="171"/>
    </row>
    <row r="51" spans="1:10" s="164" customFormat="1" ht="18.75" x14ac:dyDescent="0.3">
      <c r="A51" s="396" t="s">
        <v>672</v>
      </c>
      <c r="B51" s="397"/>
      <c r="C51" s="397"/>
      <c r="D51" s="413"/>
      <c r="E51" s="413"/>
      <c r="F51" s="413"/>
      <c r="G51" s="239"/>
      <c r="H51" s="240"/>
      <c r="I51" s="241"/>
    </row>
    <row r="52" spans="1:10" s="164" customFormat="1" ht="18.75" x14ac:dyDescent="0.3">
      <c r="A52" s="395" t="s">
        <v>25</v>
      </c>
      <c r="B52" s="395"/>
      <c r="C52" s="395"/>
      <c r="D52" s="394"/>
      <c r="E52" s="394"/>
      <c r="F52" s="394"/>
      <c r="G52" s="140"/>
      <c r="H52" s="142"/>
      <c r="I52" s="139">
        <f>G52+H52</f>
        <v>0</v>
      </c>
    </row>
    <row r="53" spans="1:10" s="164" customFormat="1" ht="18.75" x14ac:dyDescent="0.3">
      <c r="A53" s="395" t="s">
        <v>26</v>
      </c>
      <c r="B53" s="395"/>
      <c r="C53" s="395"/>
      <c r="D53" s="394"/>
      <c r="E53" s="394"/>
      <c r="F53" s="394"/>
      <c r="G53" s="140"/>
      <c r="H53" s="142"/>
      <c r="I53" s="139">
        <f>G53+H53</f>
        <v>0</v>
      </c>
    </row>
    <row r="54" spans="1:10" s="164" customFormat="1" ht="18.75" x14ac:dyDescent="0.3">
      <c r="A54" s="395" t="s">
        <v>27</v>
      </c>
      <c r="B54" s="395"/>
      <c r="C54" s="395"/>
      <c r="D54" s="394"/>
      <c r="E54" s="394"/>
      <c r="F54" s="394"/>
      <c r="G54" s="140"/>
      <c r="H54" s="142"/>
      <c r="I54" s="139">
        <f>G54+H54</f>
        <v>0</v>
      </c>
    </row>
    <row r="55" spans="1:10" s="164" customFormat="1" ht="18.75" x14ac:dyDescent="0.3">
      <c r="A55" s="401" t="s">
        <v>14</v>
      </c>
      <c r="B55" s="401"/>
      <c r="C55" s="401"/>
      <c r="D55" s="394"/>
      <c r="E55" s="394"/>
      <c r="F55" s="394"/>
      <c r="G55" s="140"/>
      <c r="H55" s="142"/>
      <c r="I55" s="139">
        <f>G55+H55</f>
        <v>0</v>
      </c>
    </row>
    <row r="56" spans="1:10" s="164" customFormat="1" ht="18.75" x14ac:dyDescent="0.3">
      <c r="A56" s="395" t="s">
        <v>28</v>
      </c>
      <c r="B56" s="395"/>
      <c r="C56" s="395"/>
      <c r="D56" s="402" t="s">
        <v>661</v>
      </c>
      <c r="E56" s="402"/>
      <c r="F56" s="402"/>
      <c r="G56" s="187"/>
      <c r="H56" s="207">
        <f>Utilities!L23</f>
        <v>0</v>
      </c>
      <c r="I56" s="208">
        <f>G56+H56</f>
        <v>0</v>
      </c>
    </row>
    <row r="57" spans="1:10" s="164" customFormat="1" ht="18.75" x14ac:dyDescent="0.3">
      <c r="A57" s="390" t="s">
        <v>631</v>
      </c>
      <c r="B57" s="391"/>
      <c r="C57" s="391"/>
      <c r="D57" s="392"/>
      <c r="E57" s="392"/>
      <c r="F57" s="392"/>
      <c r="G57" s="191">
        <f>SUM(G52:G56)</f>
        <v>0</v>
      </c>
      <c r="H57" s="191">
        <f>SUM(H52:H56)</f>
        <v>0</v>
      </c>
      <c r="I57" s="192">
        <f>SUM(I52:I56)</f>
        <v>0</v>
      </c>
    </row>
    <row r="58" spans="1:10" s="164" customFormat="1" ht="18.75" x14ac:dyDescent="0.3">
      <c r="A58" s="388" t="s">
        <v>627</v>
      </c>
      <c r="B58" s="389"/>
      <c r="C58" s="389"/>
      <c r="D58" s="392"/>
      <c r="E58" s="392"/>
      <c r="F58" s="392"/>
      <c r="G58" s="188">
        <f>G49+G57</f>
        <v>0</v>
      </c>
      <c r="H58" s="188">
        <f>H49+H57</f>
        <v>0</v>
      </c>
      <c r="I58" s="189">
        <f>I49+I57</f>
        <v>0</v>
      </c>
      <c r="J58" s="211"/>
    </row>
    <row r="59" spans="1:10" s="164" customFormat="1" ht="18.75" x14ac:dyDescent="0.3">
      <c r="A59" s="168"/>
      <c r="B59" s="168"/>
      <c r="C59" s="168"/>
      <c r="D59" s="393"/>
      <c r="E59" s="393"/>
      <c r="F59" s="393"/>
      <c r="G59" s="168"/>
      <c r="H59" s="176"/>
      <c r="I59" s="176"/>
      <c r="J59" s="177"/>
    </row>
    <row r="60" spans="1:10" s="164" customFormat="1" ht="18.75" x14ac:dyDescent="0.3">
      <c r="A60" s="168"/>
      <c r="B60" s="168"/>
      <c r="C60" s="168"/>
      <c r="D60" s="393"/>
      <c r="E60" s="393"/>
      <c r="F60" s="393"/>
      <c r="G60" s="168"/>
      <c r="H60" s="176"/>
      <c r="I60" s="176"/>
      <c r="J60" s="177"/>
    </row>
    <row r="61" spans="1:10" s="164" customFormat="1" ht="18.75" x14ac:dyDescent="0.3">
      <c r="A61" s="168"/>
      <c r="B61" s="168"/>
      <c r="C61" s="168"/>
      <c r="D61" s="393"/>
      <c r="E61" s="393"/>
      <c r="F61" s="393"/>
      <c r="G61" s="168"/>
      <c r="H61" s="176"/>
      <c r="I61" s="176"/>
      <c r="J61" s="177"/>
    </row>
    <row r="62" spans="1:10" s="164" customFormat="1" ht="18.75" x14ac:dyDescent="0.3">
      <c r="A62" s="168"/>
      <c r="B62" s="168"/>
      <c r="C62" s="168"/>
      <c r="D62" s="393"/>
      <c r="E62" s="393"/>
      <c r="F62" s="393"/>
      <c r="G62" s="168"/>
      <c r="H62" s="176"/>
      <c r="I62" s="176"/>
      <c r="J62" s="177"/>
    </row>
    <row r="63" spans="1:10" s="164" customFormat="1" ht="18.75" x14ac:dyDescent="0.3">
      <c r="A63" s="168"/>
      <c r="B63" s="168"/>
      <c r="C63" s="168"/>
      <c r="D63" s="393"/>
      <c r="E63" s="393"/>
      <c r="F63" s="393"/>
      <c r="G63" s="178"/>
      <c r="H63" s="179"/>
      <c r="I63" s="179"/>
      <c r="J63" s="179"/>
    </row>
    <row r="64" spans="1:10" ht="18.75" x14ac:dyDescent="0.3">
      <c r="D64" s="393"/>
      <c r="E64" s="393"/>
      <c r="F64" s="393"/>
    </row>
    <row r="65" spans="4:6" ht="18.75" x14ac:dyDescent="0.3">
      <c r="D65" s="393"/>
      <c r="E65" s="393"/>
      <c r="F65" s="393"/>
    </row>
    <row r="66" spans="4:6" ht="18.75" x14ac:dyDescent="0.3">
      <c r="D66" s="393"/>
      <c r="E66" s="393"/>
      <c r="F66" s="393"/>
    </row>
    <row r="67" spans="4:6" ht="18.75" x14ac:dyDescent="0.3">
      <c r="D67" s="393"/>
      <c r="E67" s="393"/>
      <c r="F67" s="393"/>
    </row>
    <row r="68" spans="4:6" ht="18.75" x14ac:dyDescent="0.3">
      <c r="D68" s="393"/>
      <c r="E68" s="393"/>
      <c r="F68" s="393"/>
    </row>
    <row r="69" spans="4:6" ht="18.75" x14ac:dyDescent="0.3">
      <c r="D69" s="393"/>
      <c r="E69" s="393"/>
      <c r="F69" s="393"/>
    </row>
    <row r="70" spans="4:6" ht="18.75" x14ac:dyDescent="0.3">
      <c r="D70" s="393"/>
      <c r="E70" s="393"/>
      <c r="F70" s="393"/>
    </row>
    <row r="71" spans="4:6" ht="18.75" x14ac:dyDescent="0.3">
      <c r="D71" s="393"/>
      <c r="E71" s="393"/>
      <c r="F71" s="393"/>
    </row>
    <row r="72" spans="4:6" ht="18.75" x14ac:dyDescent="0.3">
      <c r="D72" s="393"/>
      <c r="E72" s="393"/>
      <c r="F72" s="393"/>
    </row>
    <row r="73" spans="4:6" ht="18.75" x14ac:dyDescent="0.3">
      <c r="D73" s="393"/>
      <c r="E73" s="393"/>
      <c r="F73" s="393"/>
    </row>
    <row r="74" spans="4:6" ht="18.75" x14ac:dyDescent="0.3">
      <c r="D74" s="393"/>
      <c r="E74" s="393"/>
      <c r="F74" s="393"/>
    </row>
    <row r="75" spans="4:6" ht="18.75" x14ac:dyDescent="0.3">
      <c r="D75" s="393"/>
      <c r="E75" s="393"/>
      <c r="F75" s="393"/>
    </row>
    <row r="76" spans="4:6" ht="18.75" x14ac:dyDescent="0.3">
      <c r="D76" s="393"/>
      <c r="E76" s="393"/>
      <c r="F76" s="393"/>
    </row>
    <row r="77" spans="4:6" ht="18.75" x14ac:dyDescent="0.3">
      <c r="D77" s="393"/>
      <c r="E77" s="393"/>
      <c r="F77" s="173"/>
    </row>
    <row r="78" spans="4:6" ht="18.75" x14ac:dyDescent="0.3">
      <c r="D78" s="393"/>
      <c r="E78" s="393"/>
      <c r="F78" s="173"/>
    </row>
    <row r="79" spans="4:6" ht="18.75" x14ac:dyDescent="0.3">
      <c r="D79" s="393"/>
      <c r="E79" s="393"/>
      <c r="F79" s="173"/>
    </row>
    <row r="80" spans="4:6" ht="18.75" x14ac:dyDescent="0.3">
      <c r="D80" s="393"/>
      <c r="E80" s="393"/>
      <c r="F80" s="173"/>
    </row>
    <row r="81" spans="4:6" ht="18.75" x14ac:dyDescent="0.3">
      <c r="D81" s="393"/>
      <c r="E81" s="393"/>
      <c r="F81" s="173"/>
    </row>
    <row r="82" spans="4:6" ht="18.75" x14ac:dyDescent="0.3">
      <c r="D82" s="393"/>
      <c r="E82" s="393"/>
      <c r="F82" s="173"/>
    </row>
    <row r="83" spans="4:6" ht="18.75" x14ac:dyDescent="0.3">
      <c r="D83" s="393"/>
      <c r="E83" s="393"/>
      <c r="F83" s="173"/>
    </row>
    <row r="84" spans="4:6" ht="18.75" x14ac:dyDescent="0.3">
      <c r="D84" s="393"/>
      <c r="E84" s="393"/>
      <c r="F84" s="173"/>
    </row>
    <row r="85" spans="4:6" ht="18.75" x14ac:dyDescent="0.3">
      <c r="D85" s="393"/>
      <c r="E85" s="393"/>
      <c r="F85" s="173"/>
    </row>
    <row r="86" spans="4:6" ht="18.75" x14ac:dyDescent="0.3">
      <c r="D86" s="393"/>
      <c r="E86" s="393"/>
      <c r="F86" s="173"/>
    </row>
    <row r="87" spans="4:6" ht="18.75" x14ac:dyDescent="0.3">
      <c r="D87" s="393"/>
      <c r="E87" s="393"/>
      <c r="F87" s="173"/>
    </row>
    <row r="88" spans="4:6" ht="18.75" x14ac:dyDescent="0.3">
      <c r="D88" s="393"/>
      <c r="E88" s="393"/>
      <c r="F88" s="173"/>
    </row>
    <row r="89" spans="4:6" ht="18.75" x14ac:dyDescent="0.3">
      <c r="D89" s="393"/>
      <c r="E89" s="393"/>
      <c r="F89" s="173"/>
    </row>
    <row r="90" spans="4:6" ht="18.75" x14ac:dyDescent="0.3">
      <c r="D90" s="393"/>
      <c r="E90" s="393"/>
      <c r="F90" s="173"/>
    </row>
    <row r="91" spans="4:6" ht="18.75" x14ac:dyDescent="0.3">
      <c r="D91" s="393"/>
      <c r="E91" s="393"/>
      <c r="F91" s="173"/>
    </row>
    <row r="92" spans="4:6" ht="18.75" x14ac:dyDescent="0.3">
      <c r="D92" s="393"/>
      <c r="E92" s="393"/>
      <c r="F92" s="173"/>
    </row>
    <row r="93" spans="4:6" ht="18.75" x14ac:dyDescent="0.3">
      <c r="D93" s="393"/>
      <c r="E93" s="393"/>
      <c r="F93" s="173"/>
    </row>
    <row r="94" spans="4:6" ht="18.75" x14ac:dyDescent="0.3">
      <c r="D94" s="393"/>
      <c r="E94" s="393"/>
      <c r="F94" s="173"/>
    </row>
    <row r="95" spans="4:6" ht="18.75" x14ac:dyDescent="0.3">
      <c r="D95" s="393"/>
      <c r="E95" s="393"/>
      <c r="F95" s="173"/>
    </row>
    <row r="96" spans="4:6" ht="18.75" x14ac:dyDescent="0.3">
      <c r="D96" s="393"/>
      <c r="E96" s="393"/>
      <c r="F96" s="173"/>
    </row>
    <row r="97" spans="4:6" ht="18.75" x14ac:dyDescent="0.3">
      <c r="D97" s="393"/>
      <c r="E97" s="393"/>
      <c r="F97" s="173"/>
    </row>
    <row r="98" spans="4:6" ht="18.75" x14ac:dyDescent="0.3">
      <c r="D98" s="393"/>
      <c r="E98" s="393"/>
      <c r="F98" s="173"/>
    </row>
    <row r="99" spans="4:6" ht="18.75" x14ac:dyDescent="0.3">
      <c r="D99" s="393"/>
      <c r="E99" s="393"/>
      <c r="F99" s="173"/>
    </row>
    <row r="100" spans="4:6" ht="18.75" x14ac:dyDescent="0.3">
      <c r="D100" s="393"/>
      <c r="E100" s="393"/>
      <c r="F100" s="173"/>
    </row>
    <row r="101" spans="4:6" ht="18.75" x14ac:dyDescent="0.3">
      <c r="D101" s="393"/>
      <c r="E101" s="393"/>
      <c r="F101" s="173"/>
    </row>
    <row r="102" spans="4:6" ht="18.75" x14ac:dyDescent="0.3">
      <c r="D102" s="393"/>
      <c r="E102" s="393"/>
      <c r="F102" s="173"/>
    </row>
    <row r="103" spans="4:6" ht="18.75" x14ac:dyDescent="0.3">
      <c r="D103" s="393"/>
      <c r="E103" s="393"/>
      <c r="F103" s="173"/>
    </row>
    <row r="104" spans="4:6" ht="18.75" x14ac:dyDescent="0.3">
      <c r="D104" s="393"/>
      <c r="E104" s="393"/>
      <c r="F104" s="173"/>
    </row>
    <row r="105" spans="4:6" ht="18.75" x14ac:dyDescent="0.3">
      <c r="D105" s="393"/>
      <c r="E105" s="393"/>
      <c r="F105" s="173"/>
    </row>
    <row r="106" spans="4:6" ht="18.75" x14ac:dyDescent="0.3">
      <c r="D106" s="393"/>
      <c r="E106" s="393"/>
      <c r="F106" s="173"/>
    </row>
    <row r="107" spans="4:6" ht="18.75" x14ac:dyDescent="0.3">
      <c r="D107" s="393"/>
      <c r="E107" s="393"/>
      <c r="F107" s="173"/>
    </row>
    <row r="108" spans="4:6" ht="18.75" x14ac:dyDescent="0.3">
      <c r="D108" s="393"/>
      <c r="E108" s="393"/>
      <c r="F108" s="173"/>
    </row>
    <row r="109" spans="4:6" ht="18.75" x14ac:dyDescent="0.3">
      <c r="D109" s="393"/>
      <c r="E109" s="393"/>
      <c r="F109" s="173"/>
    </row>
    <row r="110" spans="4:6" ht="18.75" x14ac:dyDescent="0.3">
      <c r="D110" s="393"/>
      <c r="E110" s="393"/>
      <c r="F110" s="173"/>
    </row>
    <row r="111" spans="4:6" ht="18.75" x14ac:dyDescent="0.3">
      <c r="D111" s="393"/>
      <c r="E111" s="393"/>
      <c r="F111" s="173"/>
    </row>
    <row r="112" spans="4:6" ht="18.75" x14ac:dyDescent="0.3">
      <c r="D112" s="393"/>
      <c r="E112" s="393"/>
      <c r="F112" s="173"/>
    </row>
    <row r="113" spans="4:6" ht="18.75" x14ac:dyDescent="0.3">
      <c r="D113" s="393"/>
      <c r="E113" s="393"/>
      <c r="F113" s="173"/>
    </row>
    <row r="114" spans="4:6" ht="18.75" x14ac:dyDescent="0.3">
      <c r="D114" s="393"/>
      <c r="E114" s="393"/>
      <c r="F114" s="173"/>
    </row>
    <row r="115" spans="4:6" ht="18.75" x14ac:dyDescent="0.3">
      <c r="D115" s="393"/>
      <c r="E115" s="393"/>
      <c r="F115" s="173"/>
    </row>
    <row r="116" spans="4:6" ht="18.75" x14ac:dyDescent="0.3">
      <c r="D116" s="393"/>
      <c r="E116" s="393"/>
      <c r="F116" s="173"/>
    </row>
    <row r="117" spans="4:6" ht="18.75" x14ac:dyDescent="0.3">
      <c r="D117" s="393"/>
      <c r="E117" s="393"/>
      <c r="F117" s="173"/>
    </row>
    <row r="118" spans="4:6" ht="18.75" x14ac:dyDescent="0.3">
      <c r="D118" s="393"/>
      <c r="E118" s="393"/>
      <c r="F118" s="173"/>
    </row>
    <row r="119" spans="4:6" ht="18.75" x14ac:dyDescent="0.3">
      <c r="D119" s="393"/>
      <c r="E119" s="393"/>
      <c r="F119" s="173"/>
    </row>
    <row r="120" spans="4:6" ht="18.75" x14ac:dyDescent="0.3">
      <c r="D120" s="393"/>
      <c r="E120" s="393"/>
      <c r="F120" s="173"/>
    </row>
    <row r="121" spans="4:6" ht="18.75" x14ac:dyDescent="0.3">
      <c r="D121" s="393"/>
      <c r="E121" s="393"/>
      <c r="F121" s="173"/>
    </row>
    <row r="122" spans="4:6" ht="18.75" x14ac:dyDescent="0.3">
      <c r="D122" s="393"/>
      <c r="E122" s="393"/>
      <c r="F122" s="173"/>
    </row>
    <row r="123" spans="4:6" ht="18.75" x14ac:dyDescent="0.3">
      <c r="D123" s="393"/>
      <c r="E123" s="393"/>
      <c r="F123" s="173"/>
    </row>
    <row r="124" spans="4:6" ht="18.75" x14ac:dyDescent="0.3">
      <c r="D124" s="393"/>
      <c r="E124" s="393"/>
      <c r="F124" s="173"/>
    </row>
  </sheetData>
  <mergeCells count="140">
    <mergeCell ref="D57:F57"/>
    <mergeCell ref="A50:C50"/>
    <mergeCell ref="D52:F52"/>
    <mergeCell ref="D53:F53"/>
    <mergeCell ref="A53:C53"/>
    <mergeCell ref="A16:C16"/>
    <mergeCell ref="A4:C4"/>
    <mergeCell ref="A3:C3"/>
    <mergeCell ref="A52:C52"/>
    <mergeCell ref="D46:F46"/>
    <mergeCell ref="D47:F47"/>
    <mergeCell ref="D48:F48"/>
    <mergeCell ref="A5:C5"/>
    <mergeCell ref="A6:C6"/>
    <mergeCell ref="D15:E15"/>
    <mergeCell ref="D30:F30"/>
    <mergeCell ref="D31:F31"/>
    <mergeCell ref="D35:F35"/>
    <mergeCell ref="D36:F36"/>
    <mergeCell ref="D39:F39"/>
    <mergeCell ref="D3:F3"/>
    <mergeCell ref="D20:F20"/>
    <mergeCell ref="C19:F19"/>
    <mergeCell ref="D49:F49"/>
    <mergeCell ref="D50:F50"/>
    <mergeCell ref="D51:F51"/>
    <mergeCell ref="D77:E77"/>
    <mergeCell ref="D78:E78"/>
    <mergeCell ref="D79:E79"/>
    <mergeCell ref="D80:E80"/>
    <mergeCell ref="D81:E81"/>
    <mergeCell ref="D82:E82"/>
    <mergeCell ref="D54:F54"/>
    <mergeCell ref="D65:F65"/>
    <mergeCell ref="D66:F66"/>
    <mergeCell ref="D67:F67"/>
    <mergeCell ref="D68:F68"/>
    <mergeCell ref="D55:F55"/>
    <mergeCell ref="D58:F58"/>
    <mergeCell ref="D63:F63"/>
    <mergeCell ref="D64:F64"/>
    <mergeCell ref="D69:F69"/>
    <mergeCell ref="D70:F70"/>
    <mergeCell ref="D59:F59"/>
    <mergeCell ref="D75:F75"/>
    <mergeCell ref="D60:F60"/>
    <mergeCell ref="D61:F61"/>
    <mergeCell ref="D62:F62"/>
    <mergeCell ref="D71:F71"/>
    <mergeCell ref="D76:F76"/>
    <mergeCell ref="D89:E89"/>
    <mergeCell ref="D90:E90"/>
    <mergeCell ref="D91:E91"/>
    <mergeCell ref="D92:E92"/>
    <mergeCell ref="D93:E93"/>
    <mergeCell ref="D94:E94"/>
    <mergeCell ref="D83:E83"/>
    <mergeCell ref="D84:E84"/>
    <mergeCell ref="D85:E85"/>
    <mergeCell ref="D86:E86"/>
    <mergeCell ref="D87:E87"/>
    <mergeCell ref="D88:E88"/>
    <mergeCell ref="D101:E101"/>
    <mergeCell ref="D102:E102"/>
    <mergeCell ref="D103:E103"/>
    <mergeCell ref="D104:E104"/>
    <mergeCell ref="D105:E105"/>
    <mergeCell ref="D106:E106"/>
    <mergeCell ref="D95:E95"/>
    <mergeCell ref="D96:E96"/>
    <mergeCell ref="D97:E97"/>
    <mergeCell ref="D98:E98"/>
    <mergeCell ref="D99:E99"/>
    <mergeCell ref="D100:E100"/>
    <mergeCell ref="D122:E122"/>
    <mergeCell ref="D123:E123"/>
    <mergeCell ref="D107:E107"/>
    <mergeCell ref="D108:E108"/>
    <mergeCell ref="D109:E109"/>
    <mergeCell ref="D110:E110"/>
    <mergeCell ref="D111:E111"/>
    <mergeCell ref="D112:E112"/>
    <mergeCell ref="D124:E124"/>
    <mergeCell ref="D113:E113"/>
    <mergeCell ref="D114:E114"/>
    <mergeCell ref="D115:E115"/>
    <mergeCell ref="D116:E116"/>
    <mergeCell ref="D117:E117"/>
    <mergeCell ref="D118:E118"/>
    <mergeCell ref="D119:E119"/>
    <mergeCell ref="D120:E120"/>
    <mergeCell ref="D121:E121"/>
    <mergeCell ref="A1:J1"/>
    <mergeCell ref="A43:I43"/>
    <mergeCell ref="A7:C7"/>
    <mergeCell ref="D4:F4"/>
    <mergeCell ref="D5:F5"/>
    <mergeCell ref="D6:F6"/>
    <mergeCell ref="D23:F23"/>
    <mergeCell ref="D16:F16"/>
    <mergeCell ref="D24:F24"/>
    <mergeCell ref="D7:F7"/>
    <mergeCell ref="D8:F8"/>
    <mergeCell ref="D9:F9"/>
    <mergeCell ref="D10:F10"/>
    <mergeCell ref="D14:E14"/>
    <mergeCell ref="D25:F25"/>
    <mergeCell ref="D29:F29"/>
    <mergeCell ref="D28:F28"/>
    <mergeCell ref="D32:F32"/>
    <mergeCell ref="D33:F33"/>
    <mergeCell ref="D34:F34"/>
    <mergeCell ref="D27:F27"/>
    <mergeCell ref="D26:F26"/>
    <mergeCell ref="A42:C42"/>
    <mergeCell ref="A20:C20"/>
    <mergeCell ref="A58:C58"/>
    <mergeCell ref="A37:C37"/>
    <mergeCell ref="D37:F37"/>
    <mergeCell ref="D72:F72"/>
    <mergeCell ref="D73:F73"/>
    <mergeCell ref="D74:F74"/>
    <mergeCell ref="D45:F45"/>
    <mergeCell ref="A45:C45"/>
    <mergeCell ref="A46:C46"/>
    <mergeCell ref="A47:C47"/>
    <mergeCell ref="A49:C49"/>
    <mergeCell ref="A41:C41"/>
    <mergeCell ref="A51:C51"/>
    <mergeCell ref="D40:F40"/>
    <mergeCell ref="D41:F41"/>
    <mergeCell ref="D42:F42"/>
    <mergeCell ref="D44:F44"/>
    <mergeCell ref="A44:C44"/>
    <mergeCell ref="A48:C48"/>
    <mergeCell ref="A54:C54"/>
    <mergeCell ref="A55:C55"/>
    <mergeCell ref="A56:C56"/>
    <mergeCell ref="A57:C57"/>
    <mergeCell ref="D56:F56"/>
  </mergeCells>
  <phoneticPr fontId="6" type="noConversion"/>
  <conditionalFormatting sqref="H63:I63 G24 J59:J62 G26:G27">
    <cfRule type="cellIs" dxfId="7" priority="11" stopIfTrue="1" operator="equal">
      <formula>"high"</formula>
    </cfRule>
    <cfRule type="cellIs" dxfId="6" priority="12" stopIfTrue="1" operator="equal">
      <formula>"low"</formula>
    </cfRule>
  </conditionalFormatting>
  <conditionalFormatting sqref="G19">
    <cfRule type="cellIs" dxfId="5" priority="5" stopIfTrue="1" operator="equal">
      <formula>"high"</formula>
    </cfRule>
    <cfRule type="cellIs" dxfId="4" priority="6" stopIfTrue="1" operator="equal">
      <formula>"low"</formula>
    </cfRule>
  </conditionalFormatting>
  <conditionalFormatting sqref="H14">
    <cfRule type="cellIs" dxfId="3" priority="3" operator="equal">
      <formula>0</formula>
    </cfRule>
    <cfRule type="cellIs" dxfId="2" priority="4" operator="equal">
      <formula>" - "</formula>
    </cfRule>
  </conditionalFormatting>
  <conditionalFormatting sqref="H15">
    <cfRule type="cellIs" dxfId="1" priority="2" operator="equal">
      <formula>0</formula>
    </cfRule>
  </conditionalFormatting>
  <conditionalFormatting sqref="G15">
    <cfRule type="cellIs" dxfId="0" priority="1" operator="equal">
      <formula>0</formula>
    </cfRule>
  </conditionalFormatting>
  <dataValidations xWindow="407" yWindow="528" count="20">
    <dataValidation type="list" allowBlank="1" showInputMessage="1" showErrorMessage="1" prompt="Select from dropdown." sqref="D13">
      <formula1>StudentTitles</formula1>
    </dataValidation>
    <dataValidation type="list" allowBlank="1" showInputMessage="1" showErrorMessage="1" prompt="Select Discipline from Dropdown" sqref="D30:F31">
      <formula1>Sections</formula1>
    </dataValidation>
    <dataValidation type="list" allowBlank="1" showInputMessage="1" showErrorMessage="1" prompt="Select from dropdown." sqref="D5:F5">
      <formula1>AdminTitles</formula1>
    </dataValidation>
    <dataValidation type="list" allowBlank="1" showInputMessage="1" showErrorMessage="1" prompt="Select from dropdown." sqref="D8:F8">
      <formula1>ClassTitles</formula1>
    </dataValidation>
    <dataValidation type="list" allowBlank="1" showInputMessage="1" showErrorMessage="1" prompt="Select from dropdown." sqref="D12">
      <formula1>ShortTerm</formula1>
    </dataValidation>
    <dataValidation allowBlank="1" showInputMessage="1" showErrorMessage="1" prompt="Enter Number of FT Faculty" sqref="C9"/>
    <dataValidation allowBlank="1" showInputMessage="1" showErrorMessage="1" prompt="Enter Permanent PT FTE.  To calculate FTE, divide hours worked per week by 40." sqref="C8"/>
    <dataValidation allowBlank="1" showInputMessage="1" showErrorMessage="1" prompt="Enter Number of FT Counselors/ Librarians" sqref="C10"/>
    <dataValidation allowBlank="1" showInputMessage="1" showErrorMessage="1" prompt="Enter Approximate Annual Hours Required" sqref="C12:C13"/>
    <dataValidation allowBlank="1" showInputMessage="1" showErrorMessage="1" prompt="Enter either hours or faculty load (in FTE).  Max load per faculty member is .67." sqref="C14"/>
    <dataValidation type="list" showInputMessage="1" showErrorMessage="1" prompt="Select from dropdown." sqref="F12">
      <formula1>"  ,Yes, No"</formula1>
    </dataValidation>
    <dataValidation type="list" showInputMessage="1" showErrorMessage="1" sqref="F13">
      <formula1>"Yes, No"</formula1>
    </dataValidation>
    <dataValidation type="list" allowBlank="1" showInputMessage="1" showErrorMessage="1" sqref="F15">
      <formula1>"Yes, No"</formula1>
    </dataValidation>
    <dataValidation type="list" allowBlank="1" showInputMessage="1" showErrorMessage="1" promptTitle="Select from dropdown" sqref="B15">
      <formula1>"Enter Annual Hrs, Enter FTE Load"</formula1>
    </dataValidation>
    <dataValidation type="list" allowBlank="1" showInputMessage="1" showErrorMessage="1" sqref="B14">
      <formula1>"Enter Annual Hrs, Enter FTE Load"</formula1>
    </dataValidation>
    <dataValidation allowBlank="1" showInputMessage="1" showErrorMessage="1" prompt="Enter either hours or counseling/librarian load (in FTE).  Max load per faculty member is .67." sqref="C15"/>
    <dataValidation type="list" allowBlank="1" showInputMessage="1" showErrorMessage="1" sqref="F14">
      <formula1>" ,Yes, No"</formula1>
    </dataValidation>
    <dataValidation type="list" allowBlank="1" showInputMessage="1" showErrorMessage="1" prompt="Select from dropdown." sqref="D4:F4">
      <formula1>AdminTitles</formula1>
    </dataValidation>
    <dataValidation type="list" allowBlank="1" showInputMessage="1" showErrorMessage="1" prompt="Select from dropdown." sqref="D7:F7">
      <formula1>ClassTitles</formula1>
    </dataValidation>
    <dataValidation type="list" allowBlank="1" showInputMessage="1" showErrorMessage="1" prompt="Select from dropdown." sqref="D6:F6">
      <formula1>ClassTitles</formula1>
    </dataValidation>
  </dataValidations>
  <pageMargins left="0.25" right="0.25" top="0.5" bottom="0.5" header="0.5" footer="0.5"/>
  <pageSetup scale="61" orientation="portrait" r:id="rId1"/>
  <headerFooter alignWithMargins="0"/>
  <ignoredErrors>
    <ignoredError sqref="J14"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140"/>
  <sheetViews>
    <sheetView workbookViewId="0">
      <selection activeCell="I56" sqref="I56"/>
    </sheetView>
  </sheetViews>
  <sheetFormatPr defaultRowHeight="12.75" x14ac:dyDescent="0.2"/>
  <cols>
    <col min="1" max="1" width="70.85546875" style="348" customWidth="1"/>
    <col min="2" max="2" width="10.85546875" style="348" customWidth="1"/>
    <col min="3" max="4" width="12" style="348" customWidth="1"/>
    <col min="5" max="5" width="10.85546875" style="348" customWidth="1"/>
    <col min="6" max="6" width="12" style="348" customWidth="1"/>
    <col min="7" max="7" width="10.85546875" style="348" customWidth="1"/>
    <col min="8" max="16384" width="9.140625" style="348"/>
  </cols>
  <sheetData>
    <row r="1" spans="1:7" ht="29.1" customHeight="1" x14ac:dyDescent="0.2">
      <c r="A1" s="346" t="s">
        <v>435</v>
      </c>
      <c r="B1" s="346" t="s">
        <v>1060</v>
      </c>
      <c r="C1" s="346" t="s">
        <v>436</v>
      </c>
      <c r="D1" s="346" t="s">
        <v>437</v>
      </c>
      <c r="E1" s="346" t="s">
        <v>438</v>
      </c>
      <c r="F1" s="346" t="s">
        <v>439</v>
      </c>
      <c r="G1" s="347" t="s">
        <v>1061</v>
      </c>
    </row>
    <row r="2" spans="1:7" customFormat="1" x14ac:dyDescent="0.2">
      <c r="A2" s="257"/>
      <c r="B2" s="256"/>
      <c r="C2" s="255"/>
      <c r="D2" s="255"/>
      <c r="E2" s="255"/>
      <c r="F2" s="255"/>
      <c r="G2" s="255"/>
    </row>
    <row r="3" spans="1:7" ht="14.1" customHeight="1" x14ac:dyDescent="0.2">
      <c r="A3" s="349" t="s">
        <v>440</v>
      </c>
      <c r="B3" s="350" t="s">
        <v>212</v>
      </c>
      <c r="C3" s="351">
        <v>86590</v>
      </c>
      <c r="D3" s="351">
        <v>90955</v>
      </c>
      <c r="E3" s="351">
        <v>95540</v>
      </c>
      <c r="F3" s="351">
        <v>100356</v>
      </c>
      <c r="G3" s="351">
        <v>105421</v>
      </c>
    </row>
    <row r="4" spans="1:7" ht="14.1" customHeight="1" x14ac:dyDescent="0.2">
      <c r="A4" s="349" t="s">
        <v>776</v>
      </c>
      <c r="B4" s="350" t="s">
        <v>212</v>
      </c>
      <c r="C4" s="351">
        <v>86590</v>
      </c>
      <c r="D4" s="351">
        <v>90955</v>
      </c>
      <c r="E4" s="351">
        <v>95540</v>
      </c>
      <c r="F4" s="351">
        <v>100356</v>
      </c>
      <c r="G4" s="351">
        <v>105421</v>
      </c>
    </row>
    <row r="5" spans="1:7" ht="14.1" customHeight="1" x14ac:dyDescent="0.2">
      <c r="A5" s="349" t="s">
        <v>441</v>
      </c>
      <c r="B5" s="350" t="s">
        <v>195</v>
      </c>
      <c r="C5" s="351">
        <v>61186</v>
      </c>
      <c r="D5" s="351">
        <v>64270</v>
      </c>
      <c r="E5" s="351">
        <v>67511</v>
      </c>
      <c r="F5" s="351">
        <v>70917</v>
      </c>
      <c r="G5" s="351">
        <v>74490</v>
      </c>
    </row>
    <row r="6" spans="1:7" ht="14.1" customHeight="1" x14ac:dyDescent="0.2">
      <c r="A6" s="349" t="s">
        <v>442</v>
      </c>
      <c r="B6" s="350" t="s">
        <v>443</v>
      </c>
      <c r="C6" s="351">
        <v>90271</v>
      </c>
      <c r="D6" s="351">
        <v>94821</v>
      </c>
      <c r="E6" s="351">
        <v>99601</v>
      </c>
      <c r="F6" s="351">
        <v>104623</v>
      </c>
      <c r="G6" s="351">
        <v>109898</v>
      </c>
    </row>
    <row r="7" spans="1:7" ht="14.1" customHeight="1" x14ac:dyDescent="0.2">
      <c r="A7" s="349" t="s">
        <v>777</v>
      </c>
      <c r="B7" s="350" t="s">
        <v>444</v>
      </c>
      <c r="C7" s="351">
        <v>94436</v>
      </c>
      <c r="D7" s="351">
        <v>99196</v>
      </c>
      <c r="E7" s="351">
        <v>104198</v>
      </c>
      <c r="F7" s="351">
        <v>109453</v>
      </c>
      <c r="G7" s="351">
        <v>114972</v>
      </c>
    </row>
    <row r="8" spans="1:7" ht="14.1" customHeight="1" x14ac:dyDescent="0.2">
      <c r="A8" s="349" t="s">
        <v>778</v>
      </c>
      <c r="B8" s="350" t="s">
        <v>197</v>
      </c>
      <c r="C8" s="351">
        <v>77288</v>
      </c>
      <c r="D8" s="351">
        <v>81187</v>
      </c>
      <c r="E8" s="351">
        <v>85281</v>
      </c>
      <c r="F8" s="351">
        <v>89580</v>
      </c>
      <c r="G8" s="351">
        <v>94098</v>
      </c>
    </row>
    <row r="9" spans="1:7" ht="14.1" customHeight="1" x14ac:dyDescent="0.2">
      <c r="A9" s="349" t="s">
        <v>779</v>
      </c>
      <c r="B9" s="350" t="s">
        <v>230</v>
      </c>
      <c r="C9" s="351">
        <v>80098</v>
      </c>
      <c r="D9" s="351">
        <v>84138</v>
      </c>
      <c r="E9" s="351">
        <v>88381</v>
      </c>
      <c r="F9" s="351">
        <v>92835</v>
      </c>
      <c r="G9" s="351">
        <v>97518</v>
      </c>
    </row>
    <row r="10" spans="1:7" ht="14.1" customHeight="1" x14ac:dyDescent="0.2">
      <c r="A10" s="349" t="s">
        <v>780</v>
      </c>
      <c r="B10" s="350" t="s">
        <v>443</v>
      </c>
      <c r="C10" s="351">
        <v>90271</v>
      </c>
      <c r="D10" s="351">
        <v>94821</v>
      </c>
      <c r="E10" s="351">
        <v>99601</v>
      </c>
      <c r="F10" s="351">
        <v>104623</v>
      </c>
      <c r="G10" s="351">
        <v>109898</v>
      </c>
    </row>
    <row r="11" spans="1:7" ht="14.1" customHeight="1" x14ac:dyDescent="0.2">
      <c r="A11" s="349" t="s">
        <v>781</v>
      </c>
      <c r="B11" s="350" t="s">
        <v>443</v>
      </c>
      <c r="C11" s="351">
        <v>90271</v>
      </c>
      <c r="D11" s="351">
        <v>94821</v>
      </c>
      <c r="E11" s="351">
        <v>99601</v>
      </c>
      <c r="F11" s="351">
        <v>104623</v>
      </c>
      <c r="G11" s="351">
        <v>109898</v>
      </c>
    </row>
    <row r="12" spans="1:7" ht="14.1" customHeight="1" x14ac:dyDescent="0.2">
      <c r="A12" s="349" t="s">
        <v>782</v>
      </c>
      <c r="B12" s="350" t="s">
        <v>444</v>
      </c>
      <c r="C12" s="351">
        <v>94436</v>
      </c>
      <c r="D12" s="351">
        <v>99196</v>
      </c>
      <c r="E12" s="351">
        <v>104198</v>
      </c>
      <c r="F12" s="351">
        <v>109453</v>
      </c>
      <c r="G12" s="351">
        <v>114972</v>
      </c>
    </row>
    <row r="13" spans="1:7" ht="14.1" customHeight="1" x14ac:dyDescent="0.2">
      <c r="A13" s="349" t="s">
        <v>783</v>
      </c>
      <c r="B13" s="350" t="s">
        <v>259</v>
      </c>
      <c r="C13" s="351">
        <v>83198</v>
      </c>
      <c r="D13" s="351">
        <v>87394</v>
      </c>
      <c r="E13" s="351">
        <v>91802</v>
      </c>
      <c r="F13" s="351">
        <v>96430</v>
      </c>
      <c r="G13" s="351">
        <v>101292</v>
      </c>
    </row>
    <row r="14" spans="1:7" ht="14.1" customHeight="1" x14ac:dyDescent="0.2">
      <c r="A14" s="349" t="s">
        <v>1062</v>
      </c>
      <c r="B14" s="350" t="s">
        <v>197</v>
      </c>
      <c r="C14" s="351">
        <v>77288</v>
      </c>
      <c r="D14" s="351">
        <v>81187</v>
      </c>
      <c r="E14" s="351">
        <v>85281</v>
      </c>
      <c r="F14" s="351">
        <v>89580</v>
      </c>
      <c r="G14" s="351">
        <v>94098</v>
      </c>
    </row>
    <row r="15" spans="1:7" ht="14.1" customHeight="1" x14ac:dyDescent="0.2">
      <c r="A15" s="349" t="s">
        <v>445</v>
      </c>
      <c r="B15" s="350" t="s">
        <v>197</v>
      </c>
      <c r="C15" s="351">
        <v>77288</v>
      </c>
      <c r="D15" s="351">
        <v>81187</v>
      </c>
      <c r="E15" s="351">
        <v>85281</v>
      </c>
      <c r="F15" s="351">
        <v>89580</v>
      </c>
      <c r="G15" s="351">
        <v>94098</v>
      </c>
    </row>
    <row r="16" spans="1:7" ht="14.1" customHeight="1" x14ac:dyDescent="0.2">
      <c r="A16" s="349" t="s">
        <v>446</v>
      </c>
      <c r="B16" s="350" t="s">
        <v>447</v>
      </c>
      <c r="C16" s="351">
        <v>115602</v>
      </c>
      <c r="D16" s="351">
        <v>121433</v>
      </c>
      <c r="E16" s="351">
        <v>127553</v>
      </c>
      <c r="F16" s="351">
        <v>133985</v>
      </c>
      <c r="G16" s="351">
        <v>140744</v>
      </c>
    </row>
    <row r="17" spans="1:7" ht="14.1" customHeight="1" x14ac:dyDescent="0.2">
      <c r="A17" s="349" t="s">
        <v>784</v>
      </c>
      <c r="B17" s="350" t="s">
        <v>447</v>
      </c>
      <c r="C17" s="351">
        <v>115602</v>
      </c>
      <c r="D17" s="351">
        <v>121433</v>
      </c>
      <c r="E17" s="351">
        <v>127553</v>
      </c>
      <c r="F17" s="351">
        <v>133985</v>
      </c>
      <c r="G17" s="351">
        <v>140744</v>
      </c>
    </row>
    <row r="18" spans="1:7" ht="14.1" customHeight="1" x14ac:dyDescent="0.2">
      <c r="A18" s="349" t="s">
        <v>448</v>
      </c>
      <c r="B18" s="350" t="s">
        <v>447</v>
      </c>
      <c r="C18" s="351">
        <v>115602</v>
      </c>
      <c r="D18" s="351">
        <v>121433</v>
      </c>
      <c r="E18" s="351">
        <v>127553</v>
      </c>
      <c r="F18" s="351">
        <v>133985</v>
      </c>
      <c r="G18" s="351">
        <v>140744</v>
      </c>
    </row>
    <row r="19" spans="1:7" ht="14.1" customHeight="1" x14ac:dyDescent="0.2">
      <c r="A19" s="349" t="s">
        <v>785</v>
      </c>
      <c r="B19" s="350" t="s">
        <v>417</v>
      </c>
      <c r="C19" s="351">
        <v>98891</v>
      </c>
      <c r="D19" s="351">
        <v>103876</v>
      </c>
      <c r="E19" s="351">
        <v>109114</v>
      </c>
      <c r="F19" s="351">
        <v>114615</v>
      </c>
      <c r="G19" s="351">
        <v>120395</v>
      </c>
    </row>
    <row r="20" spans="1:7" ht="14.1" customHeight="1" x14ac:dyDescent="0.2">
      <c r="A20" s="349" t="s">
        <v>786</v>
      </c>
      <c r="B20" s="350" t="s">
        <v>447</v>
      </c>
      <c r="C20" s="351">
        <v>115602</v>
      </c>
      <c r="D20" s="351">
        <v>121433</v>
      </c>
      <c r="E20" s="351">
        <v>127553</v>
      </c>
      <c r="F20" s="351">
        <v>133985</v>
      </c>
      <c r="G20" s="351">
        <v>140744</v>
      </c>
    </row>
    <row r="21" spans="1:7" ht="14.1" customHeight="1" x14ac:dyDescent="0.2">
      <c r="A21" s="349" t="s">
        <v>787</v>
      </c>
      <c r="B21" s="350" t="s">
        <v>449</v>
      </c>
      <c r="C21" s="351">
        <v>127664</v>
      </c>
      <c r="D21" s="351">
        <v>134100</v>
      </c>
      <c r="E21" s="351">
        <v>140863</v>
      </c>
      <c r="F21" s="351">
        <v>147966</v>
      </c>
      <c r="G21" s="351">
        <v>155425</v>
      </c>
    </row>
    <row r="22" spans="1:7" ht="14.1" customHeight="1" x14ac:dyDescent="0.2">
      <c r="A22" s="349" t="s">
        <v>450</v>
      </c>
      <c r="B22" s="350" t="s">
        <v>451</v>
      </c>
      <c r="C22" s="351">
        <v>144845</v>
      </c>
      <c r="D22" s="351">
        <v>152149</v>
      </c>
      <c r="E22" s="351">
        <v>159821</v>
      </c>
      <c r="F22" s="351">
        <v>167877</v>
      </c>
      <c r="G22" s="351">
        <v>176343</v>
      </c>
    </row>
    <row r="23" spans="1:7" ht="14.1" customHeight="1" x14ac:dyDescent="0.2">
      <c r="A23" s="349" t="s">
        <v>1063</v>
      </c>
      <c r="B23" s="350" t="s">
        <v>451</v>
      </c>
      <c r="C23" s="351">
        <v>144845</v>
      </c>
      <c r="D23" s="351">
        <v>152149</v>
      </c>
      <c r="E23" s="351">
        <v>159821</v>
      </c>
      <c r="F23" s="351">
        <v>167877</v>
      </c>
      <c r="G23" s="351">
        <v>176343</v>
      </c>
    </row>
    <row r="24" spans="1:7" ht="14.1" customHeight="1" x14ac:dyDescent="0.2">
      <c r="A24" s="349" t="s">
        <v>788</v>
      </c>
      <c r="B24" s="350" t="s">
        <v>451</v>
      </c>
      <c r="C24" s="351">
        <v>144845</v>
      </c>
      <c r="D24" s="351">
        <v>152149</v>
      </c>
      <c r="E24" s="351">
        <v>159821</v>
      </c>
      <c r="F24" s="351">
        <v>167877</v>
      </c>
      <c r="G24" s="351">
        <v>176343</v>
      </c>
    </row>
    <row r="25" spans="1:7" ht="14.1" customHeight="1" x14ac:dyDescent="0.2">
      <c r="A25" s="349" t="s">
        <v>452</v>
      </c>
      <c r="B25" s="350" t="s">
        <v>453</v>
      </c>
      <c r="C25" s="351">
        <v>135420</v>
      </c>
      <c r="D25" s="351">
        <v>142247</v>
      </c>
      <c r="E25" s="351">
        <v>149420</v>
      </c>
      <c r="F25" s="351">
        <v>156953</v>
      </c>
      <c r="G25" s="351">
        <v>164866</v>
      </c>
    </row>
    <row r="26" spans="1:7" ht="14.1" customHeight="1" x14ac:dyDescent="0.2">
      <c r="A26" s="349" t="s">
        <v>454</v>
      </c>
      <c r="B26" s="350" t="s">
        <v>210</v>
      </c>
      <c r="C26" s="351">
        <v>64406</v>
      </c>
      <c r="D26" s="351">
        <v>67654</v>
      </c>
      <c r="E26" s="351">
        <v>71066</v>
      </c>
      <c r="F26" s="351">
        <v>74648</v>
      </c>
      <c r="G26" s="351">
        <v>78412</v>
      </c>
    </row>
    <row r="27" spans="1:7" ht="14.1" customHeight="1" x14ac:dyDescent="0.2">
      <c r="A27" s="349" t="s">
        <v>455</v>
      </c>
      <c r="B27" s="350" t="s">
        <v>449</v>
      </c>
      <c r="C27" s="351">
        <v>127664</v>
      </c>
      <c r="D27" s="351">
        <v>134100</v>
      </c>
      <c r="E27" s="351">
        <v>140863</v>
      </c>
      <c r="F27" s="351">
        <v>147966</v>
      </c>
      <c r="G27" s="351">
        <v>155425</v>
      </c>
    </row>
    <row r="28" spans="1:7" ht="14.1" customHeight="1" x14ac:dyDescent="0.2">
      <c r="A28" s="349" t="s">
        <v>456</v>
      </c>
      <c r="B28" s="350" t="s">
        <v>259</v>
      </c>
      <c r="C28" s="351">
        <v>83198</v>
      </c>
      <c r="D28" s="351">
        <v>87394</v>
      </c>
      <c r="E28" s="351">
        <v>91802</v>
      </c>
      <c r="F28" s="351">
        <v>96430</v>
      </c>
      <c r="G28" s="351">
        <v>101292</v>
      </c>
    </row>
    <row r="29" spans="1:7" ht="14.1" customHeight="1" x14ac:dyDescent="0.2">
      <c r="A29" s="349" t="s">
        <v>457</v>
      </c>
      <c r="B29" s="350" t="s">
        <v>458</v>
      </c>
      <c r="C29" s="351">
        <v>131347</v>
      </c>
      <c r="D29" s="351">
        <v>137970</v>
      </c>
      <c r="E29" s="351">
        <v>144926</v>
      </c>
      <c r="F29" s="351">
        <v>152233</v>
      </c>
      <c r="G29" s="351">
        <v>159909</v>
      </c>
    </row>
    <row r="30" spans="1:7" ht="14.1" customHeight="1" x14ac:dyDescent="0.2">
      <c r="A30" s="349" t="s">
        <v>789</v>
      </c>
      <c r="B30" s="350" t="s">
        <v>197</v>
      </c>
      <c r="C30" s="351">
        <v>77288</v>
      </c>
      <c r="D30" s="351">
        <v>81187</v>
      </c>
      <c r="E30" s="351">
        <v>85281</v>
      </c>
      <c r="F30" s="351">
        <v>89580</v>
      </c>
      <c r="G30" s="351">
        <v>94098</v>
      </c>
    </row>
    <row r="31" spans="1:7" ht="14.1" customHeight="1" x14ac:dyDescent="0.2">
      <c r="A31" s="349" t="s">
        <v>790</v>
      </c>
      <c r="B31" s="350" t="s">
        <v>191</v>
      </c>
      <c r="C31" s="351">
        <v>67627</v>
      </c>
      <c r="D31" s="351">
        <v>71036</v>
      </c>
      <c r="E31" s="351">
        <v>74620</v>
      </c>
      <c r="F31" s="351">
        <v>78381</v>
      </c>
      <c r="G31" s="351">
        <v>82332</v>
      </c>
    </row>
    <row r="32" spans="1:7" ht="14.1" customHeight="1" x14ac:dyDescent="0.2">
      <c r="A32" s="349" t="s">
        <v>791</v>
      </c>
      <c r="B32" s="350" t="s">
        <v>453</v>
      </c>
      <c r="C32" s="351">
        <v>135420</v>
      </c>
      <c r="D32" s="351">
        <v>142247</v>
      </c>
      <c r="E32" s="351">
        <v>149420</v>
      </c>
      <c r="F32" s="351">
        <v>156953</v>
      </c>
      <c r="G32" s="351">
        <v>164866</v>
      </c>
    </row>
    <row r="33" spans="1:7" ht="14.1" customHeight="1" x14ac:dyDescent="0.2">
      <c r="A33" s="349" t="s">
        <v>792</v>
      </c>
      <c r="B33" s="350" t="s">
        <v>453</v>
      </c>
      <c r="C33" s="351">
        <v>135420</v>
      </c>
      <c r="D33" s="351">
        <v>142247</v>
      </c>
      <c r="E33" s="351">
        <v>149420</v>
      </c>
      <c r="F33" s="351">
        <v>156953</v>
      </c>
      <c r="G33" s="351">
        <v>164866</v>
      </c>
    </row>
    <row r="34" spans="1:7" ht="14.1" customHeight="1" x14ac:dyDescent="0.2">
      <c r="A34" s="349" t="s">
        <v>793</v>
      </c>
      <c r="B34" s="350" t="s">
        <v>453</v>
      </c>
      <c r="C34" s="351">
        <v>135420</v>
      </c>
      <c r="D34" s="351">
        <v>142247</v>
      </c>
      <c r="E34" s="351">
        <v>149420</v>
      </c>
      <c r="F34" s="351">
        <v>156953</v>
      </c>
      <c r="G34" s="351">
        <v>164866</v>
      </c>
    </row>
    <row r="35" spans="1:7" ht="14.1" customHeight="1" x14ac:dyDescent="0.2">
      <c r="A35" s="349" t="s">
        <v>794</v>
      </c>
      <c r="B35" s="350" t="s">
        <v>453</v>
      </c>
      <c r="C35" s="351">
        <v>135420</v>
      </c>
      <c r="D35" s="351">
        <v>142247</v>
      </c>
      <c r="E35" s="351">
        <v>149420</v>
      </c>
      <c r="F35" s="351">
        <v>156953</v>
      </c>
      <c r="G35" s="351">
        <v>164866</v>
      </c>
    </row>
    <row r="36" spans="1:7" ht="14.1" customHeight="1" x14ac:dyDescent="0.2">
      <c r="A36" s="349" t="s">
        <v>795</v>
      </c>
      <c r="B36" s="350" t="s">
        <v>453</v>
      </c>
      <c r="C36" s="351">
        <v>135420</v>
      </c>
      <c r="D36" s="351">
        <v>142247</v>
      </c>
      <c r="E36" s="351">
        <v>149420</v>
      </c>
      <c r="F36" s="351">
        <v>156953</v>
      </c>
      <c r="G36" s="351">
        <v>164866</v>
      </c>
    </row>
    <row r="37" spans="1:7" ht="14.1" customHeight="1" x14ac:dyDescent="0.2">
      <c r="A37" s="349" t="s">
        <v>796</v>
      </c>
      <c r="B37" s="350" t="s">
        <v>453</v>
      </c>
      <c r="C37" s="351">
        <v>135420</v>
      </c>
      <c r="D37" s="351">
        <v>142247</v>
      </c>
      <c r="E37" s="351">
        <v>149420</v>
      </c>
      <c r="F37" s="351">
        <v>156953</v>
      </c>
      <c r="G37" s="351">
        <v>164866</v>
      </c>
    </row>
    <row r="38" spans="1:7" ht="14.1" customHeight="1" x14ac:dyDescent="0.2">
      <c r="A38" s="349" t="s">
        <v>797</v>
      </c>
      <c r="B38" s="350" t="s">
        <v>449</v>
      </c>
      <c r="C38" s="351">
        <v>127664</v>
      </c>
      <c r="D38" s="351">
        <v>134100</v>
      </c>
      <c r="E38" s="351">
        <v>140863</v>
      </c>
      <c r="F38" s="351">
        <v>147966</v>
      </c>
      <c r="G38" s="351">
        <v>155425</v>
      </c>
    </row>
    <row r="39" spans="1:7" ht="14.1" customHeight="1" x14ac:dyDescent="0.2">
      <c r="A39" s="349" t="s">
        <v>771</v>
      </c>
      <c r="B39" s="350" t="s">
        <v>461</v>
      </c>
      <c r="C39" s="351">
        <v>124317</v>
      </c>
      <c r="D39" s="351">
        <v>130587</v>
      </c>
      <c r="E39" s="351">
        <v>137169</v>
      </c>
      <c r="F39" s="351">
        <v>144085</v>
      </c>
      <c r="G39" s="351">
        <v>151351</v>
      </c>
    </row>
    <row r="40" spans="1:7" ht="14.1" customHeight="1" x14ac:dyDescent="0.2">
      <c r="A40" s="349" t="s">
        <v>459</v>
      </c>
      <c r="B40" s="350" t="s">
        <v>447</v>
      </c>
      <c r="C40" s="351">
        <v>115602</v>
      </c>
      <c r="D40" s="351">
        <v>121433</v>
      </c>
      <c r="E40" s="351">
        <v>127553</v>
      </c>
      <c r="F40" s="351">
        <v>133985</v>
      </c>
      <c r="G40" s="351">
        <v>140744</v>
      </c>
    </row>
    <row r="41" spans="1:7" ht="14.1" customHeight="1" x14ac:dyDescent="0.2">
      <c r="A41" s="349" t="s">
        <v>460</v>
      </c>
      <c r="B41" s="350" t="s">
        <v>458</v>
      </c>
      <c r="C41" s="351">
        <v>131347</v>
      </c>
      <c r="D41" s="351">
        <v>137970</v>
      </c>
      <c r="E41" s="351">
        <v>144926</v>
      </c>
      <c r="F41" s="351">
        <v>152233</v>
      </c>
      <c r="G41" s="351">
        <v>159909</v>
      </c>
    </row>
    <row r="42" spans="1:7" ht="14.1" customHeight="1" x14ac:dyDescent="0.2">
      <c r="A42" s="349" t="s">
        <v>798</v>
      </c>
      <c r="B42" s="350" t="s">
        <v>461</v>
      </c>
      <c r="C42" s="351">
        <v>124317</v>
      </c>
      <c r="D42" s="351">
        <v>130587</v>
      </c>
      <c r="E42" s="351">
        <v>137169</v>
      </c>
      <c r="F42" s="351">
        <v>144085</v>
      </c>
      <c r="G42" s="351">
        <v>151351</v>
      </c>
    </row>
    <row r="43" spans="1:7" ht="14.1" customHeight="1" x14ac:dyDescent="0.2">
      <c r="A43" s="349" t="s">
        <v>799</v>
      </c>
      <c r="B43" s="350" t="s">
        <v>461</v>
      </c>
      <c r="C43" s="351">
        <v>124317</v>
      </c>
      <c r="D43" s="351">
        <v>130587</v>
      </c>
      <c r="E43" s="351">
        <v>137169</v>
      </c>
      <c r="F43" s="351">
        <v>144085</v>
      </c>
      <c r="G43" s="351">
        <v>151351</v>
      </c>
    </row>
    <row r="44" spans="1:7" ht="14.1" customHeight="1" x14ac:dyDescent="0.2">
      <c r="A44" s="349" t="s">
        <v>800</v>
      </c>
      <c r="B44" s="350" t="s">
        <v>447</v>
      </c>
      <c r="C44" s="351">
        <v>115602</v>
      </c>
      <c r="D44" s="351">
        <v>121433</v>
      </c>
      <c r="E44" s="351">
        <v>127553</v>
      </c>
      <c r="F44" s="351">
        <v>133985</v>
      </c>
      <c r="G44" s="351">
        <v>140744</v>
      </c>
    </row>
    <row r="45" spans="1:7" ht="14.1" customHeight="1" x14ac:dyDescent="0.2">
      <c r="A45" s="349" t="s">
        <v>767</v>
      </c>
      <c r="B45" s="350" t="s">
        <v>461</v>
      </c>
      <c r="C45" s="351">
        <v>124317</v>
      </c>
      <c r="D45" s="351">
        <v>130587</v>
      </c>
      <c r="E45" s="351">
        <v>137169</v>
      </c>
      <c r="F45" s="351">
        <v>144085</v>
      </c>
      <c r="G45" s="351">
        <v>151351</v>
      </c>
    </row>
    <row r="46" spans="1:7" ht="14.1" customHeight="1" x14ac:dyDescent="0.2">
      <c r="A46" s="349" t="s">
        <v>801</v>
      </c>
      <c r="B46" s="350" t="s">
        <v>461</v>
      </c>
      <c r="C46" s="351">
        <v>124317</v>
      </c>
      <c r="D46" s="351">
        <v>130587</v>
      </c>
      <c r="E46" s="351">
        <v>137169</v>
      </c>
      <c r="F46" s="351">
        <v>144085</v>
      </c>
      <c r="G46" s="351">
        <v>151351</v>
      </c>
    </row>
    <row r="47" spans="1:7" ht="14.1" customHeight="1" x14ac:dyDescent="0.2">
      <c r="A47" s="349" t="s">
        <v>802</v>
      </c>
      <c r="B47" s="350" t="s">
        <v>461</v>
      </c>
      <c r="C47" s="351">
        <v>124317</v>
      </c>
      <c r="D47" s="351">
        <v>130587</v>
      </c>
      <c r="E47" s="351">
        <v>137169</v>
      </c>
      <c r="F47" s="351">
        <v>144085</v>
      </c>
      <c r="G47" s="351">
        <v>151351</v>
      </c>
    </row>
    <row r="48" spans="1:7" ht="14.1" customHeight="1" x14ac:dyDescent="0.2">
      <c r="A48" s="349" t="s">
        <v>462</v>
      </c>
      <c r="B48" s="350" t="s">
        <v>453</v>
      </c>
      <c r="C48" s="351">
        <v>135420</v>
      </c>
      <c r="D48" s="351">
        <v>142247</v>
      </c>
      <c r="E48" s="351">
        <v>149420</v>
      </c>
      <c r="F48" s="351">
        <v>156953</v>
      </c>
      <c r="G48" s="351">
        <v>164866</v>
      </c>
    </row>
    <row r="49" spans="1:7" ht="14.1" customHeight="1" x14ac:dyDescent="0.2">
      <c r="A49" s="349" t="s">
        <v>463</v>
      </c>
      <c r="B49" s="350" t="s">
        <v>453</v>
      </c>
      <c r="C49" s="351">
        <v>135420</v>
      </c>
      <c r="D49" s="351">
        <v>142247</v>
      </c>
      <c r="E49" s="351">
        <v>149420</v>
      </c>
      <c r="F49" s="351">
        <v>156953</v>
      </c>
      <c r="G49" s="351">
        <v>164866</v>
      </c>
    </row>
    <row r="50" spans="1:7" ht="14.1" customHeight="1" x14ac:dyDescent="0.2">
      <c r="A50" s="349" t="s">
        <v>803</v>
      </c>
      <c r="B50" s="350" t="s">
        <v>461</v>
      </c>
      <c r="C50" s="351">
        <v>124317</v>
      </c>
      <c r="D50" s="351">
        <v>130587</v>
      </c>
      <c r="E50" s="351">
        <v>137169</v>
      </c>
      <c r="F50" s="351">
        <v>144085</v>
      </c>
      <c r="G50" s="351">
        <v>151351</v>
      </c>
    </row>
    <row r="51" spans="1:7" ht="14.1" customHeight="1" x14ac:dyDescent="0.2">
      <c r="A51" s="349" t="s">
        <v>804</v>
      </c>
      <c r="B51" s="350" t="s">
        <v>461</v>
      </c>
      <c r="C51" s="351">
        <v>124317</v>
      </c>
      <c r="D51" s="351">
        <v>130587</v>
      </c>
      <c r="E51" s="351">
        <v>137169</v>
      </c>
      <c r="F51" s="351">
        <v>144085</v>
      </c>
      <c r="G51" s="351">
        <v>151351</v>
      </c>
    </row>
    <row r="52" spans="1:7" ht="14.1" customHeight="1" x14ac:dyDescent="0.2">
      <c r="A52" s="349" t="s">
        <v>464</v>
      </c>
      <c r="B52" s="350" t="s">
        <v>449</v>
      </c>
      <c r="C52" s="351">
        <v>127664</v>
      </c>
      <c r="D52" s="351">
        <v>134100</v>
      </c>
      <c r="E52" s="351">
        <v>140863</v>
      </c>
      <c r="F52" s="351">
        <v>147966</v>
      </c>
      <c r="G52" s="351">
        <v>155425</v>
      </c>
    </row>
    <row r="53" spans="1:7" ht="14.1" customHeight="1" x14ac:dyDescent="0.2">
      <c r="A53" s="349" t="s">
        <v>465</v>
      </c>
      <c r="B53" s="350" t="s">
        <v>449</v>
      </c>
      <c r="C53" s="351">
        <v>127664</v>
      </c>
      <c r="D53" s="351">
        <v>134100</v>
      </c>
      <c r="E53" s="351">
        <v>140863</v>
      </c>
      <c r="F53" s="351">
        <v>147966</v>
      </c>
      <c r="G53" s="351">
        <v>155425</v>
      </c>
    </row>
    <row r="54" spans="1:7" ht="14.1" customHeight="1" x14ac:dyDescent="0.2">
      <c r="A54" s="349" t="s">
        <v>805</v>
      </c>
      <c r="B54" s="350" t="s">
        <v>447</v>
      </c>
      <c r="C54" s="351">
        <v>115602</v>
      </c>
      <c r="D54" s="351">
        <v>121433</v>
      </c>
      <c r="E54" s="351">
        <v>127553</v>
      </c>
      <c r="F54" s="351">
        <v>133985</v>
      </c>
      <c r="G54" s="351">
        <v>140744</v>
      </c>
    </row>
    <row r="55" spans="1:7" ht="14.1" customHeight="1" x14ac:dyDescent="0.2">
      <c r="A55" s="349" t="s">
        <v>1064</v>
      </c>
      <c r="B55" s="350" t="s">
        <v>449</v>
      </c>
      <c r="C55" s="351">
        <v>127664</v>
      </c>
      <c r="D55" s="351">
        <v>134100</v>
      </c>
      <c r="E55" s="351">
        <v>140863</v>
      </c>
      <c r="F55" s="351">
        <v>147966</v>
      </c>
      <c r="G55" s="351">
        <v>155425</v>
      </c>
    </row>
    <row r="56" spans="1:7" ht="14.1" customHeight="1" x14ac:dyDescent="0.2">
      <c r="A56" s="349" t="s">
        <v>466</v>
      </c>
      <c r="B56" s="350" t="s">
        <v>259</v>
      </c>
      <c r="C56" s="351">
        <v>83198</v>
      </c>
      <c r="D56" s="351">
        <v>87394</v>
      </c>
      <c r="E56" s="351">
        <v>91802</v>
      </c>
      <c r="F56" s="351">
        <v>96430</v>
      </c>
      <c r="G56" s="351">
        <v>101292</v>
      </c>
    </row>
    <row r="57" spans="1:7" ht="14.1" customHeight="1" x14ac:dyDescent="0.2">
      <c r="A57" s="349" t="s">
        <v>806</v>
      </c>
      <c r="B57" s="350" t="s">
        <v>230</v>
      </c>
      <c r="C57" s="351">
        <v>80098</v>
      </c>
      <c r="D57" s="351">
        <v>84138</v>
      </c>
      <c r="E57" s="351">
        <v>88381</v>
      </c>
      <c r="F57" s="351">
        <v>92835</v>
      </c>
      <c r="G57" s="351">
        <v>97518</v>
      </c>
    </row>
    <row r="58" spans="1:7" ht="14.1" customHeight="1" x14ac:dyDescent="0.2">
      <c r="A58" s="349" t="s">
        <v>467</v>
      </c>
      <c r="B58" s="350" t="s">
        <v>449</v>
      </c>
      <c r="C58" s="351">
        <v>127664</v>
      </c>
      <c r="D58" s="351">
        <v>134100</v>
      </c>
      <c r="E58" s="351">
        <v>140863</v>
      </c>
      <c r="F58" s="351">
        <v>147966</v>
      </c>
      <c r="G58" s="351">
        <v>155425</v>
      </c>
    </row>
    <row r="59" spans="1:7" ht="12" customHeight="1" x14ac:dyDescent="0.2">
      <c r="A59" s="349" t="s">
        <v>807</v>
      </c>
      <c r="B59" s="350" t="s">
        <v>447</v>
      </c>
      <c r="C59" s="351">
        <v>115602</v>
      </c>
      <c r="D59" s="351">
        <v>121433</v>
      </c>
      <c r="E59" s="351">
        <v>127553</v>
      </c>
      <c r="F59" s="351">
        <v>133985</v>
      </c>
      <c r="G59" s="351">
        <v>140744</v>
      </c>
    </row>
    <row r="60" spans="1:7" ht="14.1" customHeight="1" x14ac:dyDescent="0.2">
      <c r="A60" s="349" t="s">
        <v>468</v>
      </c>
      <c r="B60" s="350" t="s">
        <v>444</v>
      </c>
      <c r="C60" s="351">
        <v>94436</v>
      </c>
      <c r="D60" s="351">
        <v>99196</v>
      </c>
      <c r="E60" s="351">
        <v>104198</v>
      </c>
      <c r="F60" s="351">
        <v>109453</v>
      </c>
      <c r="G60" s="351">
        <v>114972</v>
      </c>
    </row>
    <row r="61" spans="1:7" ht="14.1" customHeight="1" x14ac:dyDescent="0.2">
      <c r="A61" s="349" t="s">
        <v>1065</v>
      </c>
      <c r="B61" s="350" t="s">
        <v>444</v>
      </c>
      <c r="C61" s="351">
        <v>94436</v>
      </c>
      <c r="D61" s="351">
        <v>99196</v>
      </c>
      <c r="E61" s="351">
        <v>104198</v>
      </c>
      <c r="F61" s="351">
        <v>109453</v>
      </c>
      <c r="G61" s="351">
        <v>114972</v>
      </c>
    </row>
    <row r="62" spans="1:7" ht="14.1" customHeight="1" x14ac:dyDescent="0.2">
      <c r="A62" s="349" t="s">
        <v>808</v>
      </c>
      <c r="B62" s="350" t="s">
        <v>212</v>
      </c>
      <c r="C62" s="351">
        <v>86590</v>
      </c>
      <c r="D62" s="351">
        <v>90955</v>
      </c>
      <c r="E62" s="351">
        <v>95540</v>
      </c>
      <c r="F62" s="351">
        <v>100356</v>
      </c>
      <c r="G62" s="351">
        <v>105421</v>
      </c>
    </row>
    <row r="63" spans="1:7" ht="14.1" customHeight="1" x14ac:dyDescent="0.2">
      <c r="A63" s="349" t="s">
        <v>809</v>
      </c>
      <c r="B63" s="350" t="s">
        <v>212</v>
      </c>
      <c r="C63" s="351">
        <v>86590</v>
      </c>
      <c r="D63" s="351">
        <v>90955</v>
      </c>
      <c r="E63" s="351">
        <v>95540</v>
      </c>
      <c r="F63" s="351">
        <v>100356</v>
      </c>
      <c r="G63" s="351">
        <v>105421</v>
      </c>
    </row>
    <row r="64" spans="1:7" ht="14.1" customHeight="1" x14ac:dyDescent="0.2">
      <c r="A64" s="349" t="s">
        <v>469</v>
      </c>
      <c r="B64" s="350" t="s">
        <v>212</v>
      </c>
      <c r="C64" s="351">
        <v>86590</v>
      </c>
      <c r="D64" s="351">
        <v>90955</v>
      </c>
      <c r="E64" s="351">
        <v>95540</v>
      </c>
      <c r="F64" s="351">
        <v>100356</v>
      </c>
      <c r="G64" s="351">
        <v>105421</v>
      </c>
    </row>
    <row r="65" spans="1:7" ht="14.1" customHeight="1" x14ac:dyDescent="0.2">
      <c r="A65" s="349" t="s">
        <v>810</v>
      </c>
      <c r="B65" s="350" t="s">
        <v>447</v>
      </c>
      <c r="C65" s="351">
        <v>115602</v>
      </c>
      <c r="D65" s="351">
        <v>121433</v>
      </c>
      <c r="E65" s="351">
        <v>127553</v>
      </c>
      <c r="F65" s="351">
        <v>133985</v>
      </c>
      <c r="G65" s="351">
        <v>140744</v>
      </c>
    </row>
    <row r="66" spans="1:7" ht="14.1" customHeight="1" x14ac:dyDescent="0.2">
      <c r="A66" s="349" t="s">
        <v>811</v>
      </c>
      <c r="B66" s="350" t="s">
        <v>447</v>
      </c>
      <c r="C66" s="351">
        <v>115602</v>
      </c>
      <c r="D66" s="351">
        <v>121433</v>
      </c>
      <c r="E66" s="351">
        <v>127553</v>
      </c>
      <c r="F66" s="351">
        <v>133985</v>
      </c>
      <c r="G66" s="351">
        <v>140744</v>
      </c>
    </row>
    <row r="67" spans="1:7" ht="14.1" customHeight="1" x14ac:dyDescent="0.2">
      <c r="A67" s="349" t="s">
        <v>470</v>
      </c>
      <c r="B67" s="350" t="s">
        <v>212</v>
      </c>
      <c r="C67" s="351">
        <v>86590</v>
      </c>
      <c r="D67" s="351">
        <v>90955</v>
      </c>
      <c r="E67" s="351">
        <v>95540</v>
      </c>
      <c r="F67" s="351">
        <v>100356</v>
      </c>
      <c r="G67" s="351">
        <v>105421</v>
      </c>
    </row>
    <row r="68" spans="1:7" ht="14.1" customHeight="1" x14ac:dyDescent="0.2">
      <c r="A68" s="349" t="s">
        <v>768</v>
      </c>
      <c r="B68" s="350" t="s">
        <v>444</v>
      </c>
      <c r="C68" s="351">
        <v>94436</v>
      </c>
      <c r="D68" s="351">
        <v>99196</v>
      </c>
      <c r="E68" s="351">
        <v>104198</v>
      </c>
      <c r="F68" s="351">
        <v>109453</v>
      </c>
      <c r="G68" s="351">
        <v>114972</v>
      </c>
    </row>
    <row r="69" spans="1:7" ht="14.1" customHeight="1" x14ac:dyDescent="0.2">
      <c r="A69" s="349" t="s">
        <v>812</v>
      </c>
      <c r="B69" s="350" t="s">
        <v>447</v>
      </c>
      <c r="C69" s="351">
        <v>115602</v>
      </c>
      <c r="D69" s="351">
        <v>121433</v>
      </c>
      <c r="E69" s="351">
        <v>127553</v>
      </c>
      <c r="F69" s="351">
        <v>133985</v>
      </c>
      <c r="G69" s="351">
        <v>140744</v>
      </c>
    </row>
    <row r="70" spans="1:7" ht="14.1" customHeight="1" x14ac:dyDescent="0.2">
      <c r="A70" s="349" t="s">
        <v>813</v>
      </c>
      <c r="B70" s="350" t="s">
        <v>444</v>
      </c>
      <c r="C70" s="351">
        <v>94436</v>
      </c>
      <c r="D70" s="351">
        <v>99196</v>
      </c>
      <c r="E70" s="351">
        <v>104198</v>
      </c>
      <c r="F70" s="351">
        <v>109453</v>
      </c>
      <c r="G70" s="351">
        <v>114972</v>
      </c>
    </row>
    <row r="71" spans="1:7" ht="14.1" customHeight="1" x14ac:dyDescent="0.2">
      <c r="A71" s="349" t="s">
        <v>471</v>
      </c>
      <c r="B71" s="350" t="s">
        <v>444</v>
      </c>
      <c r="C71" s="351">
        <v>94436</v>
      </c>
      <c r="D71" s="351">
        <v>99196</v>
      </c>
      <c r="E71" s="351">
        <v>104198</v>
      </c>
      <c r="F71" s="351">
        <v>109453</v>
      </c>
      <c r="G71" s="351">
        <v>114972</v>
      </c>
    </row>
    <row r="72" spans="1:7" ht="14.1" customHeight="1" x14ac:dyDescent="0.2">
      <c r="A72" s="349" t="s">
        <v>814</v>
      </c>
      <c r="B72" s="350" t="s">
        <v>443</v>
      </c>
      <c r="C72" s="351">
        <v>90271</v>
      </c>
      <c r="D72" s="351">
        <v>94821</v>
      </c>
      <c r="E72" s="351">
        <v>99601</v>
      </c>
      <c r="F72" s="351">
        <v>104623</v>
      </c>
      <c r="G72" s="351">
        <v>109898</v>
      </c>
    </row>
    <row r="73" spans="1:7" ht="14.1" customHeight="1" x14ac:dyDescent="0.2">
      <c r="A73" s="349" t="s">
        <v>472</v>
      </c>
      <c r="B73" s="350" t="s">
        <v>443</v>
      </c>
      <c r="C73" s="351">
        <v>90271</v>
      </c>
      <c r="D73" s="351">
        <v>94821</v>
      </c>
      <c r="E73" s="351">
        <v>99601</v>
      </c>
      <c r="F73" s="351">
        <v>104623</v>
      </c>
      <c r="G73" s="351">
        <v>109898</v>
      </c>
    </row>
    <row r="74" spans="1:7" ht="14.1" customHeight="1" x14ac:dyDescent="0.2">
      <c r="A74" s="349" t="s">
        <v>473</v>
      </c>
      <c r="B74" s="350" t="s">
        <v>447</v>
      </c>
      <c r="C74" s="351">
        <v>115602</v>
      </c>
      <c r="D74" s="351">
        <v>121433</v>
      </c>
      <c r="E74" s="351">
        <v>127553</v>
      </c>
      <c r="F74" s="351">
        <v>133985</v>
      </c>
      <c r="G74" s="351">
        <v>140744</v>
      </c>
    </row>
    <row r="75" spans="1:7" ht="14.1" customHeight="1" x14ac:dyDescent="0.2">
      <c r="A75" s="349" t="s">
        <v>815</v>
      </c>
      <c r="B75" s="350" t="s">
        <v>458</v>
      </c>
      <c r="C75" s="351">
        <v>131347</v>
      </c>
      <c r="D75" s="351">
        <v>137970</v>
      </c>
      <c r="E75" s="351">
        <v>144926</v>
      </c>
      <c r="F75" s="351">
        <v>152233</v>
      </c>
      <c r="G75" s="351">
        <v>159909</v>
      </c>
    </row>
    <row r="76" spans="1:7" ht="14.1" customHeight="1" x14ac:dyDescent="0.2">
      <c r="A76" s="349" t="s">
        <v>816</v>
      </c>
      <c r="B76" s="350" t="s">
        <v>444</v>
      </c>
      <c r="C76" s="351">
        <v>94436</v>
      </c>
      <c r="D76" s="351">
        <v>99196</v>
      </c>
      <c r="E76" s="351">
        <v>104198</v>
      </c>
      <c r="F76" s="351">
        <v>109453</v>
      </c>
      <c r="G76" s="351">
        <v>114972</v>
      </c>
    </row>
    <row r="77" spans="1:7" ht="14.1" customHeight="1" x14ac:dyDescent="0.2">
      <c r="A77" s="349" t="s">
        <v>817</v>
      </c>
      <c r="B77" s="350" t="s">
        <v>444</v>
      </c>
      <c r="C77" s="351">
        <v>94436</v>
      </c>
      <c r="D77" s="351">
        <v>99196</v>
      </c>
      <c r="E77" s="351">
        <v>104198</v>
      </c>
      <c r="F77" s="351">
        <v>109453</v>
      </c>
      <c r="G77" s="351">
        <v>114972</v>
      </c>
    </row>
    <row r="78" spans="1:7" ht="14.1" customHeight="1" x14ac:dyDescent="0.2">
      <c r="A78" s="349" t="s">
        <v>474</v>
      </c>
      <c r="B78" s="350" t="s">
        <v>444</v>
      </c>
      <c r="C78" s="351">
        <v>94436</v>
      </c>
      <c r="D78" s="351">
        <v>99196</v>
      </c>
      <c r="E78" s="351">
        <v>104198</v>
      </c>
      <c r="F78" s="351">
        <v>109453</v>
      </c>
      <c r="G78" s="351">
        <v>114972</v>
      </c>
    </row>
    <row r="79" spans="1:7" ht="14.1" customHeight="1" x14ac:dyDescent="0.2">
      <c r="A79" s="349" t="s">
        <v>1066</v>
      </c>
      <c r="B79" s="350" t="s">
        <v>444</v>
      </c>
      <c r="C79" s="351">
        <v>94436</v>
      </c>
      <c r="D79" s="351">
        <v>99196</v>
      </c>
      <c r="E79" s="351">
        <v>104198</v>
      </c>
      <c r="F79" s="351">
        <v>109453</v>
      </c>
      <c r="G79" s="351">
        <v>114972</v>
      </c>
    </row>
    <row r="80" spans="1:7" ht="14.1" customHeight="1" x14ac:dyDescent="0.2">
      <c r="A80" s="349" t="s">
        <v>818</v>
      </c>
      <c r="B80" s="350" t="s">
        <v>447</v>
      </c>
      <c r="C80" s="351">
        <v>115602</v>
      </c>
      <c r="D80" s="351">
        <v>121433</v>
      </c>
      <c r="E80" s="351">
        <v>127553</v>
      </c>
      <c r="F80" s="351">
        <v>133985</v>
      </c>
      <c r="G80" s="351">
        <v>140744</v>
      </c>
    </row>
    <row r="81" spans="1:7" ht="14.1" customHeight="1" x14ac:dyDescent="0.2">
      <c r="A81" s="349" t="s">
        <v>819</v>
      </c>
      <c r="B81" s="350" t="s">
        <v>444</v>
      </c>
      <c r="C81" s="351">
        <v>94436</v>
      </c>
      <c r="D81" s="351">
        <v>99196</v>
      </c>
      <c r="E81" s="351">
        <v>104198</v>
      </c>
      <c r="F81" s="351">
        <v>109453</v>
      </c>
      <c r="G81" s="351">
        <v>114972</v>
      </c>
    </row>
    <row r="82" spans="1:7" ht="14.1" customHeight="1" x14ac:dyDescent="0.2">
      <c r="A82" s="349" t="s">
        <v>475</v>
      </c>
      <c r="B82" s="350" t="s">
        <v>212</v>
      </c>
      <c r="C82" s="351">
        <v>86590</v>
      </c>
      <c r="D82" s="351">
        <v>90955</v>
      </c>
      <c r="E82" s="351">
        <v>95540</v>
      </c>
      <c r="F82" s="351">
        <v>100356</v>
      </c>
      <c r="G82" s="351">
        <v>105421</v>
      </c>
    </row>
    <row r="83" spans="1:7" ht="14.1" customHeight="1" x14ac:dyDescent="0.2">
      <c r="A83" s="349" t="s">
        <v>476</v>
      </c>
      <c r="B83" s="350" t="s">
        <v>449</v>
      </c>
      <c r="C83" s="351">
        <v>127664</v>
      </c>
      <c r="D83" s="351">
        <v>134100</v>
      </c>
      <c r="E83" s="351">
        <v>140863</v>
      </c>
      <c r="F83" s="351">
        <v>147966</v>
      </c>
      <c r="G83" s="351">
        <v>155425</v>
      </c>
    </row>
    <row r="84" spans="1:7" ht="14.1" customHeight="1" x14ac:dyDescent="0.2">
      <c r="A84" s="349" t="s">
        <v>477</v>
      </c>
      <c r="B84" s="350" t="s">
        <v>449</v>
      </c>
      <c r="C84" s="351">
        <v>127664</v>
      </c>
      <c r="D84" s="351">
        <v>134100</v>
      </c>
      <c r="E84" s="351">
        <v>140863</v>
      </c>
      <c r="F84" s="351">
        <v>147966</v>
      </c>
      <c r="G84" s="351">
        <v>155425</v>
      </c>
    </row>
    <row r="85" spans="1:7" ht="14.1" customHeight="1" x14ac:dyDescent="0.2">
      <c r="A85" s="349" t="s">
        <v>820</v>
      </c>
      <c r="B85" s="350" t="s">
        <v>230</v>
      </c>
      <c r="C85" s="351">
        <v>80098</v>
      </c>
      <c r="D85" s="351">
        <v>84138</v>
      </c>
      <c r="E85" s="351">
        <v>88381</v>
      </c>
      <c r="F85" s="351">
        <v>92835</v>
      </c>
      <c r="G85" s="351">
        <v>97518</v>
      </c>
    </row>
    <row r="86" spans="1:7" ht="14.1" customHeight="1" x14ac:dyDescent="0.2">
      <c r="A86" s="349" t="s">
        <v>1067</v>
      </c>
      <c r="B86" s="350" t="s">
        <v>444</v>
      </c>
      <c r="C86" s="351">
        <v>94436</v>
      </c>
      <c r="D86" s="351">
        <v>99196</v>
      </c>
      <c r="E86" s="351">
        <v>104198</v>
      </c>
      <c r="F86" s="351">
        <v>109453</v>
      </c>
      <c r="G86" s="351">
        <v>114972</v>
      </c>
    </row>
    <row r="87" spans="1:7" ht="14.1" customHeight="1" x14ac:dyDescent="0.2">
      <c r="A87" s="349" t="s">
        <v>1068</v>
      </c>
      <c r="B87" s="350" t="s">
        <v>212</v>
      </c>
      <c r="C87" s="351">
        <v>86590</v>
      </c>
      <c r="D87" s="351">
        <v>90955</v>
      </c>
      <c r="E87" s="351">
        <v>95540</v>
      </c>
      <c r="F87" s="351">
        <v>100356</v>
      </c>
      <c r="G87" s="351">
        <v>105421</v>
      </c>
    </row>
    <row r="88" spans="1:7" ht="14.1" customHeight="1" x14ac:dyDescent="0.2">
      <c r="A88" s="349" t="s">
        <v>821</v>
      </c>
      <c r="B88" s="350" t="s">
        <v>447</v>
      </c>
      <c r="C88" s="351">
        <v>115602</v>
      </c>
      <c r="D88" s="351">
        <v>121433</v>
      </c>
      <c r="E88" s="351">
        <v>127553</v>
      </c>
      <c r="F88" s="351">
        <v>133985</v>
      </c>
      <c r="G88" s="351">
        <v>140744</v>
      </c>
    </row>
    <row r="89" spans="1:7" ht="14.1" customHeight="1" x14ac:dyDescent="0.2">
      <c r="A89" s="349" t="s">
        <v>478</v>
      </c>
      <c r="B89" s="350" t="s">
        <v>447</v>
      </c>
      <c r="C89" s="351">
        <v>115602</v>
      </c>
      <c r="D89" s="351">
        <v>121433</v>
      </c>
      <c r="E89" s="351">
        <v>127553</v>
      </c>
      <c r="F89" s="351">
        <v>133985</v>
      </c>
      <c r="G89" s="351">
        <v>140744</v>
      </c>
    </row>
    <row r="90" spans="1:7" ht="14.1" customHeight="1" x14ac:dyDescent="0.2">
      <c r="A90" s="349" t="s">
        <v>822</v>
      </c>
      <c r="B90" s="350" t="s">
        <v>212</v>
      </c>
      <c r="C90" s="351">
        <v>86590</v>
      </c>
      <c r="D90" s="351">
        <v>90955</v>
      </c>
      <c r="E90" s="351">
        <v>95540</v>
      </c>
      <c r="F90" s="351">
        <v>100356</v>
      </c>
      <c r="G90" s="351">
        <v>105421</v>
      </c>
    </row>
    <row r="91" spans="1:7" ht="14.1" customHeight="1" x14ac:dyDescent="0.2">
      <c r="A91" s="349" t="s">
        <v>823</v>
      </c>
      <c r="B91" s="350" t="s">
        <v>444</v>
      </c>
      <c r="C91" s="351">
        <v>94436</v>
      </c>
      <c r="D91" s="351">
        <v>99196</v>
      </c>
      <c r="E91" s="351">
        <v>104198</v>
      </c>
      <c r="F91" s="351">
        <v>109453</v>
      </c>
      <c r="G91" s="351">
        <v>114972</v>
      </c>
    </row>
    <row r="92" spans="1:7" ht="14.1" customHeight="1" x14ac:dyDescent="0.2">
      <c r="A92" s="349" t="s">
        <v>824</v>
      </c>
      <c r="B92" s="350" t="s">
        <v>444</v>
      </c>
      <c r="C92" s="351">
        <v>94436</v>
      </c>
      <c r="D92" s="351">
        <v>99196</v>
      </c>
      <c r="E92" s="351">
        <v>104198</v>
      </c>
      <c r="F92" s="351">
        <v>109453</v>
      </c>
      <c r="G92" s="351">
        <v>114972</v>
      </c>
    </row>
    <row r="93" spans="1:7" ht="14.1" customHeight="1" x14ac:dyDescent="0.2">
      <c r="A93" s="349" t="s">
        <v>825</v>
      </c>
      <c r="B93" s="350" t="s">
        <v>444</v>
      </c>
      <c r="C93" s="351">
        <v>94436</v>
      </c>
      <c r="D93" s="351">
        <v>99196</v>
      </c>
      <c r="E93" s="351">
        <v>104198</v>
      </c>
      <c r="F93" s="351">
        <v>109453</v>
      </c>
      <c r="G93" s="351">
        <v>114972</v>
      </c>
    </row>
    <row r="94" spans="1:7" ht="14.1" customHeight="1" x14ac:dyDescent="0.2">
      <c r="A94" s="349" t="s">
        <v>479</v>
      </c>
      <c r="B94" s="350" t="s">
        <v>212</v>
      </c>
      <c r="C94" s="351">
        <v>86590</v>
      </c>
      <c r="D94" s="351">
        <v>90955</v>
      </c>
      <c r="E94" s="351">
        <v>95540</v>
      </c>
      <c r="F94" s="351">
        <v>100356</v>
      </c>
      <c r="G94" s="351">
        <v>105421</v>
      </c>
    </row>
    <row r="95" spans="1:7" ht="14.1" customHeight="1" x14ac:dyDescent="0.2">
      <c r="A95" s="349" t="s">
        <v>826</v>
      </c>
      <c r="B95" s="350" t="s">
        <v>212</v>
      </c>
      <c r="C95" s="351">
        <v>86590</v>
      </c>
      <c r="D95" s="351">
        <v>90955</v>
      </c>
      <c r="E95" s="351">
        <v>95540</v>
      </c>
      <c r="F95" s="351">
        <v>100356</v>
      </c>
      <c r="G95" s="351">
        <v>105421</v>
      </c>
    </row>
    <row r="96" spans="1:7" ht="14.1" customHeight="1" x14ac:dyDescent="0.2">
      <c r="A96" s="349" t="s">
        <v>827</v>
      </c>
      <c r="B96" s="350" t="s">
        <v>212</v>
      </c>
      <c r="C96" s="351">
        <v>86590</v>
      </c>
      <c r="D96" s="351">
        <v>90955</v>
      </c>
      <c r="E96" s="351">
        <v>95540</v>
      </c>
      <c r="F96" s="351">
        <v>100356</v>
      </c>
      <c r="G96" s="351">
        <v>105421</v>
      </c>
    </row>
    <row r="97" spans="1:7" ht="14.1" customHeight="1" x14ac:dyDescent="0.2">
      <c r="A97" s="349" t="s">
        <v>1069</v>
      </c>
      <c r="B97" s="350" t="s">
        <v>444</v>
      </c>
      <c r="C97" s="351">
        <v>94436</v>
      </c>
      <c r="D97" s="351">
        <v>99196</v>
      </c>
      <c r="E97" s="351">
        <v>104198</v>
      </c>
      <c r="F97" s="351">
        <v>109453</v>
      </c>
      <c r="G97" s="351">
        <v>114972</v>
      </c>
    </row>
    <row r="98" spans="1:7" ht="14.1" customHeight="1" x14ac:dyDescent="0.2">
      <c r="A98" s="349" t="s">
        <v>480</v>
      </c>
      <c r="B98" s="350" t="s">
        <v>417</v>
      </c>
      <c r="C98" s="351">
        <v>98891</v>
      </c>
      <c r="D98" s="351">
        <v>103876</v>
      </c>
      <c r="E98" s="351">
        <v>109114</v>
      </c>
      <c r="F98" s="351">
        <v>114615</v>
      </c>
      <c r="G98" s="351">
        <v>120395</v>
      </c>
    </row>
    <row r="99" spans="1:7" ht="14.1" customHeight="1" x14ac:dyDescent="0.2">
      <c r="A99" s="349" t="s">
        <v>481</v>
      </c>
      <c r="B99" s="350" t="s">
        <v>443</v>
      </c>
      <c r="C99" s="351">
        <v>90271</v>
      </c>
      <c r="D99" s="351">
        <v>94821</v>
      </c>
      <c r="E99" s="351">
        <v>99601</v>
      </c>
      <c r="F99" s="351">
        <v>104623</v>
      </c>
      <c r="G99" s="351">
        <v>109898</v>
      </c>
    </row>
    <row r="100" spans="1:7" ht="14.1" customHeight="1" x14ac:dyDescent="0.2">
      <c r="A100" s="349" t="s">
        <v>828</v>
      </c>
      <c r="B100" s="350" t="s">
        <v>829</v>
      </c>
      <c r="C100" s="351">
        <v>139882</v>
      </c>
      <c r="D100" s="351">
        <v>146934</v>
      </c>
      <c r="E100" s="351">
        <v>154344</v>
      </c>
      <c r="F100" s="351">
        <v>162125</v>
      </c>
      <c r="G100" s="351">
        <v>170299</v>
      </c>
    </row>
    <row r="101" spans="1:7" ht="14.1" customHeight="1" x14ac:dyDescent="0.2">
      <c r="A101" s="349" t="s">
        <v>830</v>
      </c>
      <c r="B101" s="350" t="s">
        <v>829</v>
      </c>
      <c r="C101" s="351">
        <v>139882</v>
      </c>
      <c r="D101" s="351">
        <v>146934</v>
      </c>
      <c r="E101" s="351">
        <v>154344</v>
      </c>
      <c r="F101" s="351">
        <v>162125</v>
      </c>
      <c r="G101" s="351">
        <v>170299</v>
      </c>
    </row>
    <row r="102" spans="1:7" ht="14.1" customHeight="1" x14ac:dyDescent="0.2">
      <c r="A102" s="349" t="s">
        <v>831</v>
      </c>
      <c r="B102" s="350" t="s">
        <v>259</v>
      </c>
      <c r="C102" s="351">
        <v>83198</v>
      </c>
      <c r="D102" s="351">
        <v>87394</v>
      </c>
      <c r="E102" s="351">
        <v>91802</v>
      </c>
      <c r="F102" s="351">
        <v>96430</v>
      </c>
      <c r="G102" s="351">
        <v>101292</v>
      </c>
    </row>
    <row r="103" spans="1:7" ht="14.1" customHeight="1" x14ac:dyDescent="0.2">
      <c r="A103" s="349" t="s">
        <v>1070</v>
      </c>
      <c r="B103" s="350" t="s">
        <v>444</v>
      </c>
      <c r="C103" s="351">
        <v>94436</v>
      </c>
      <c r="D103" s="351">
        <v>99196</v>
      </c>
      <c r="E103" s="351">
        <v>104198</v>
      </c>
      <c r="F103" s="351">
        <v>109453</v>
      </c>
      <c r="G103" s="351">
        <v>114972</v>
      </c>
    </row>
    <row r="104" spans="1:7" ht="14.1" customHeight="1" x14ac:dyDescent="0.2">
      <c r="A104" s="349" t="s">
        <v>1071</v>
      </c>
      <c r="B104" s="350" t="s">
        <v>444</v>
      </c>
      <c r="C104" s="351">
        <v>94436</v>
      </c>
      <c r="D104" s="351">
        <v>99196</v>
      </c>
      <c r="E104" s="351">
        <v>104198</v>
      </c>
      <c r="F104" s="351">
        <v>109453</v>
      </c>
      <c r="G104" s="351">
        <v>114972</v>
      </c>
    </row>
    <row r="105" spans="1:7" ht="14.1" customHeight="1" x14ac:dyDescent="0.2">
      <c r="A105" s="349" t="s">
        <v>832</v>
      </c>
      <c r="B105" s="350" t="s">
        <v>417</v>
      </c>
      <c r="C105" s="351">
        <v>98891</v>
      </c>
      <c r="D105" s="351">
        <v>103876</v>
      </c>
      <c r="E105" s="351">
        <v>109114</v>
      </c>
      <c r="F105" s="351">
        <v>114615</v>
      </c>
      <c r="G105" s="351">
        <v>120395</v>
      </c>
    </row>
    <row r="106" spans="1:7" ht="14.1" customHeight="1" x14ac:dyDescent="0.2">
      <c r="A106" s="349" t="s">
        <v>1072</v>
      </c>
      <c r="B106" s="350" t="s">
        <v>417</v>
      </c>
      <c r="C106" s="351">
        <v>98891</v>
      </c>
      <c r="D106" s="351">
        <v>103876</v>
      </c>
      <c r="E106" s="351">
        <v>109114</v>
      </c>
      <c r="F106" s="351">
        <v>114615</v>
      </c>
      <c r="G106" s="351">
        <v>120395</v>
      </c>
    </row>
    <row r="107" spans="1:7" ht="14.1" customHeight="1" x14ac:dyDescent="0.2">
      <c r="A107" s="349" t="s">
        <v>833</v>
      </c>
      <c r="B107" s="350" t="s">
        <v>417</v>
      </c>
      <c r="C107" s="351">
        <v>98891</v>
      </c>
      <c r="D107" s="351">
        <v>103876</v>
      </c>
      <c r="E107" s="351">
        <v>109114</v>
      </c>
      <c r="F107" s="351">
        <v>114615</v>
      </c>
      <c r="G107" s="351">
        <v>120395</v>
      </c>
    </row>
    <row r="108" spans="1:7" ht="14.1" customHeight="1" x14ac:dyDescent="0.2">
      <c r="A108" s="349" t="s">
        <v>482</v>
      </c>
      <c r="B108" s="350" t="s">
        <v>451</v>
      </c>
      <c r="C108" s="351">
        <v>144845</v>
      </c>
      <c r="D108" s="351">
        <v>152149</v>
      </c>
      <c r="E108" s="351">
        <v>159821</v>
      </c>
      <c r="F108" s="351">
        <v>167877</v>
      </c>
      <c r="G108" s="351">
        <v>176343</v>
      </c>
    </row>
    <row r="109" spans="1:7" ht="14.1" customHeight="1" x14ac:dyDescent="0.2">
      <c r="A109" s="349" t="s">
        <v>834</v>
      </c>
      <c r="B109" s="350" t="s">
        <v>195</v>
      </c>
      <c r="C109" s="351">
        <v>61186</v>
      </c>
      <c r="D109" s="351">
        <v>64270</v>
      </c>
      <c r="E109" s="351">
        <v>67511</v>
      </c>
      <c r="F109" s="351">
        <v>70917</v>
      </c>
      <c r="G109" s="351">
        <v>74490</v>
      </c>
    </row>
    <row r="110" spans="1:7" ht="14.1" customHeight="1" x14ac:dyDescent="0.2">
      <c r="A110" s="349" t="s">
        <v>483</v>
      </c>
      <c r="B110" s="350" t="s">
        <v>212</v>
      </c>
      <c r="C110" s="351">
        <v>86590</v>
      </c>
      <c r="D110" s="351">
        <v>90955</v>
      </c>
      <c r="E110" s="351">
        <v>95540</v>
      </c>
      <c r="F110" s="351">
        <v>100356</v>
      </c>
      <c r="G110" s="351">
        <v>105421</v>
      </c>
    </row>
    <row r="111" spans="1:7" ht="14.1" customHeight="1" x14ac:dyDescent="0.2">
      <c r="A111" s="349" t="s">
        <v>484</v>
      </c>
      <c r="B111" s="350" t="s">
        <v>444</v>
      </c>
      <c r="C111" s="351">
        <v>94436</v>
      </c>
      <c r="D111" s="351">
        <v>99196</v>
      </c>
      <c r="E111" s="351">
        <v>104198</v>
      </c>
      <c r="F111" s="351">
        <v>109453</v>
      </c>
      <c r="G111" s="351">
        <v>114972</v>
      </c>
    </row>
    <row r="112" spans="1:7" ht="12" customHeight="1" x14ac:dyDescent="0.2">
      <c r="A112" s="349" t="s">
        <v>485</v>
      </c>
      <c r="B112" s="350" t="s">
        <v>212</v>
      </c>
      <c r="C112" s="351">
        <v>86590</v>
      </c>
      <c r="D112" s="351">
        <v>90955</v>
      </c>
      <c r="E112" s="351">
        <v>95540</v>
      </c>
      <c r="F112" s="351">
        <v>100356</v>
      </c>
      <c r="G112" s="351">
        <v>105421</v>
      </c>
    </row>
    <row r="113" spans="1:7" ht="12" customHeight="1" x14ac:dyDescent="0.2">
      <c r="A113" s="349" t="s">
        <v>486</v>
      </c>
      <c r="B113" s="350" t="s">
        <v>443</v>
      </c>
      <c r="C113" s="351">
        <v>90271</v>
      </c>
      <c r="D113" s="351">
        <v>94821</v>
      </c>
      <c r="E113" s="351">
        <v>99601</v>
      </c>
      <c r="F113" s="351">
        <v>104623</v>
      </c>
      <c r="G113" s="351">
        <v>109898</v>
      </c>
    </row>
    <row r="114" spans="1:7" ht="12" customHeight="1" x14ac:dyDescent="0.2">
      <c r="A114" s="349" t="s">
        <v>487</v>
      </c>
      <c r="B114" s="350" t="s">
        <v>443</v>
      </c>
      <c r="C114" s="351">
        <v>90271</v>
      </c>
      <c r="D114" s="351">
        <v>94821</v>
      </c>
      <c r="E114" s="351">
        <v>99601</v>
      </c>
      <c r="F114" s="351">
        <v>104623</v>
      </c>
      <c r="G114" s="351">
        <v>109898</v>
      </c>
    </row>
    <row r="115" spans="1:7" ht="12" customHeight="1" x14ac:dyDescent="0.2">
      <c r="A115" s="349" t="s">
        <v>835</v>
      </c>
      <c r="B115" s="350" t="s">
        <v>197</v>
      </c>
      <c r="C115" s="351">
        <v>77288</v>
      </c>
      <c r="D115" s="351">
        <v>81187</v>
      </c>
      <c r="E115" s="351">
        <v>85281</v>
      </c>
      <c r="F115" s="351">
        <v>89580</v>
      </c>
      <c r="G115" s="351">
        <v>94098</v>
      </c>
    </row>
    <row r="116" spans="1:7" ht="12" customHeight="1" x14ac:dyDescent="0.2">
      <c r="A116" s="349" t="s">
        <v>1073</v>
      </c>
      <c r="B116" s="350" t="s">
        <v>197</v>
      </c>
      <c r="C116" s="351">
        <v>77288</v>
      </c>
      <c r="D116" s="351">
        <v>81187</v>
      </c>
      <c r="E116" s="351">
        <v>85281</v>
      </c>
      <c r="F116" s="351">
        <v>89580</v>
      </c>
      <c r="G116" s="351">
        <v>94098</v>
      </c>
    </row>
    <row r="117" spans="1:7" ht="12" customHeight="1" x14ac:dyDescent="0.2">
      <c r="A117" s="349" t="s">
        <v>769</v>
      </c>
      <c r="B117" s="350" t="s">
        <v>443</v>
      </c>
      <c r="C117" s="351">
        <v>90271</v>
      </c>
      <c r="D117" s="351">
        <v>94821</v>
      </c>
      <c r="E117" s="351">
        <v>99601</v>
      </c>
      <c r="F117" s="351">
        <v>104623</v>
      </c>
      <c r="G117" s="351">
        <v>109898</v>
      </c>
    </row>
    <row r="118" spans="1:7" ht="12" customHeight="1" x14ac:dyDescent="0.2">
      <c r="A118" s="349" t="s">
        <v>836</v>
      </c>
      <c r="B118" s="350" t="s">
        <v>197</v>
      </c>
      <c r="C118" s="351">
        <v>77288</v>
      </c>
      <c r="D118" s="351">
        <v>81187</v>
      </c>
      <c r="E118" s="351">
        <v>85281</v>
      </c>
      <c r="F118" s="351">
        <v>89580</v>
      </c>
      <c r="G118" s="351">
        <v>94098</v>
      </c>
    </row>
    <row r="119" spans="1:7" ht="12" customHeight="1" x14ac:dyDescent="0.2">
      <c r="A119" s="349" t="s">
        <v>837</v>
      </c>
      <c r="B119" s="350" t="s">
        <v>212</v>
      </c>
      <c r="C119" s="351">
        <v>86590</v>
      </c>
      <c r="D119" s="351">
        <v>90955</v>
      </c>
      <c r="E119" s="351">
        <v>95540</v>
      </c>
      <c r="F119" s="351">
        <v>100356</v>
      </c>
      <c r="G119" s="351">
        <v>105421</v>
      </c>
    </row>
    <row r="120" spans="1:7" ht="12" customHeight="1" x14ac:dyDescent="0.2">
      <c r="A120" s="349" t="s">
        <v>838</v>
      </c>
      <c r="B120" s="350" t="s">
        <v>212</v>
      </c>
      <c r="C120" s="351">
        <v>86590</v>
      </c>
      <c r="D120" s="351">
        <v>90955</v>
      </c>
      <c r="E120" s="351">
        <v>95540</v>
      </c>
      <c r="F120" s="351">
        <v>100356</v>
      </c>
      <c r="G120" s="351">
        <v>105421</v>
      </c>
    </row>
    <row r="121" spans="1:7" ht="12" customHeight="1" x14ac:dyDescent="0.2">
      <c r="A121" s="349" t="s">
        <v>488</v>
      </c>
      <c r="B121" s="350" t="s">
        <v>417</v>
      </c>
      <c r="C121" s="351">
        <v>98891</v>
      </c>
      <c r="D121" s="351">
        <v>103876</v>
      </c>
      <c r="E121" s="351">
        <v>109114</v>
      </c>
      <c r="F121" s="351">
        <v>114615</v>
      </c>
      <c r="G121" s="351">
        <v>120395</v>
      </c>
    </row>
    <row r="122" spans="1:7" ht="12" customHeight="1" x14ac:dyDescent="0.2">
      <c r="A122" s="349" t="s">
        <v>489</v>
      </c>
      <c r="B122" s="350" t="s">
        <v>230</v>
      </c>
      <c r="C122" s="351">
        <v>80098</v>
      </c>
      <c r="D122" s="351">
        <v>84138</v>
      </c>
      <c r="E122" s="351">
        <v>88381</v>
      </c>
      <c r="F122" s="351">
        <v>92835</v>
      </c>
      <c r="G122" s="351">
        <v>97518</v>
      </c>
    </row>
    <row r="123" spans="1:7" ht="12" customHeight="1" x14ac:dyDescent="0.2">
      <c r="A123" s="349" t="s">
        <v>839</v>
      </c>
      <c r="B123" s="350" t="s">
        <v>197</v>
      </c>
      <c r="C123" s="351">
        <v>77288</v>
      </c>
      <c r="D123" s="351">
        <v>81187</v>
      </c>
      <c r="E123" s="351">
        <v>85281</v>
      </c>
      <c r="F123" s="351">
        <v>89580</v>
      </c>
      <c r="G123" s="351">
        <v>94098</v>
      </c>
    </row>
    <row r="124" spans="1:7" ht="12" customHeight="1" x14ac:dyDescent="0.2">
      <c r="A124" s="349" t="s">
        <v>840</v>
      </c>
      <c r="B124" s="350" t="s">
        <v>259</v>
      </c>
      <c r="C124" s="351">
        <v>83198</v>
      </c>
      <c r="D124" s="351">
        <v>87394</v>
      </c>
      <c r="E124" s="351">
        <v>91802</v>
      </c>
      <c r="F124" s="351">
        <v>96430</v>
      </c>
      <c r="G124" s="351">
        <v>101292</v>
      </c>
    </row>
    <row r="125" spans="1:7" ht="12" customHeight="1" x14ac:dyDescent="0.2">
      <c r="A125" s="349" t="s">
        <v>490</v>
      </c>
      <c r="B125" s="350" t="s">
        <v>444</v>
      </c>
      <c r="C125" s="351">
        <v>94436</v>
      </c>
      <c r="D125" s="351">
        <v>99196</v>
      </c>
      <c r="E125" s="351">
        <v>104198</v>
      </c>
      <c r="F125" s="351">
        <v>109453</v>
      </c>
      <c r="G125" s="351">
        <v>114972</v>
      </c>
    </row>
    <row r="126" spans="1:7" ht="12" customHeight="1" x14ac:dyDescent="0.2">
      <c r="A126" s="349" t="s">
        <v>1074</v>
      </c>
      <c r="B126" s="350" t="s">
        <v>444</v>
      </c>
      <c r="C126" s="351">
        <v>94436</v>
      </c>
      <c r="D126" s="351">
        <v>99196</v>
      </c>
      <c r="E126" s="351">
        <v>104198</v>
      </c>
      <c r="F126" s="351">
        <v>109453</v>
      </c>
      <c r="G126" s="351">
        <v>114972</v>
      </c>
    </row>
    <row r="127" spans="1:7" ht="12" customHeight="1" x14ac:dyDescent="0.2">
      <c r="A127" s="349" t="s">
        <v>841</v>
      </c>
      <c r="B127" s="350" t="s">
        <v>443</v>
      </c>
      <c r="C127" s="351">
        <v>90271</v>
      </c>
      <c r="D127" s="351">
        <v>94821</v>
      </c>
      <c r="E127" s="351">
        <v>99601</v>
      </c>
      <c r="F127" s="351">
        <v>104623</v>
      </c>
      <c r="G127" s="351">
        <v>109898</v>
      </c>
    </row>
    <row r="128" spans="1:7" ht="12" customHeight="1" x14ac:dyDescent="0.2">
      <c r="A128" s="349" t="s">
        <v>770</v>
      </c>
      <c r="B128" s="350" t="s">
        <v>212</v>
      </c>
      <c r="C128" s="351">
        <v>86590</v>
      </c>
      <c r="D128" s="351">
        <v>90955</v>
      </c>
      <c r="E128" s="351">
        <v>95540</v>
      </c>
      <c r="F128" s="351">
        <v>100356</v>
      </c>
      <c r="G128" s="351">
        <v>105421</v>
      </c>
    </row>
    <row r="129" spans="1:7" ht="12" customHeight="1" x14ac:dyDescent="0.2">
      <c r="A129" s="349" t="s">
        <v>1075</v>
      </c>
      <c r="B129" s="350" t="s">
        <v>212</v>
      </c>
      <c r="C129" s="351">
        <v>86590</v>
      </c>
      <c r="D129" s="351">
        <v>90955</v>
      </c>
      <c r="E129" s="351">
        <v>95540</v>
      </c>
      <c r="F129" s="351">
        <v>100356</v>
      </c>
      <c r="G129" s="351">
        <v>105421</v>
      </c>
    </row>
    <row r="130" spans="1:7" ht="12" customHeight="1" x14ac:dyDescent="0.2">
      <c r="A130" s="349" t="s">
        <v>491</v>
      </c>
      <c r="B130" s="350" t="s">
        <v>444</v>
      </c>
      <c r="C130" s="351">
        <v>94436</v>
      </c>
      <c r="D130" s="351">
        <v>99196</v>
      </c>
      <c r="E130" s="351">
        <v>104198</v>
      </c>
      <c r="F130" s="351">
        <v>109453</v>
      </c>
      <c r="G130" s="351">
        <v>114972</v>
      </c>
    </row>
    <row r="131" spans="1:7" ht="12" customHeight="1" x14ac:dyDescent="0.2">
      <c r="A131" s="349" t="s">
        <v>492</v>
      </c>
      <c r="B131" s="350" t="s">
        <v>212</v>
      </c>
      <c r="C131" s="351">
        <v>86590</v>
      </c>
      <c r="D131" s="351">
        <v>90955</v>
      </c>
      <c r="E131" s="351">
        <v>95540</v>
      </c>
      <c r="F131" s="351">
        <v>100356</v>
      </c>
      <c r="G131" s="351">
        <v>105421</v>
      </c>
    </row>
    <row r="132" spans="1:7" ht="12" customHeight="1" x14ac:dyDescent="0.2">
      <c r="A132" s="349" t="s">
        <v>842</v>
      </c>
      <c r="B132" s="350" t="s">
        <v>230</v>
      </c>
      <c r="C132" s="351">
        <v>80098</v>
      </c>
      <c r="D132" s="351">
        <v>84138</v>
      </c>
      <c r="E132" s="351">
        <v>88381</v>
      </c>
      <c r="F132" s="351">
        <v>92835</v>
      </c>
      <c r="G132" s="351">
        <v>97518</v>
      </c>
    </row>
    <row r="133" spans="1:7" ht="12" customHeight="1" x14ac:dyDescent="0.2">
      <c r="A133" s="349" t="s">
        <v>493</v>
      </c>
      <c r="B133" s="350" t="s">
        <v>212</v>
      </c>
      <c r="C133" s="351">
        <v>86590</v>
      </c>
      <c r="D133" s="351">
        <v>90955</v>
      </c>
      <c r="E133" s="351">
        <v>95540</v>
      </c>
      <c r="F133" s="351">
        <v>100356</v>
      </c>
      <c r="G133" s="351">
        <v>105421</v>
      </c>
    </row>
    <row r="134" spans="1:7" ht="12" customHeight="1" x14ac:dyDescent="0.2">
      <c r="A134" s="349" t="s">
        <v>843</v>
      </c>
      <c r="B134" s="350" t="s">
        <v>212</v>
      </c>
      <c r="C134" s="351">
        <v>86590</v>
      </c>
      <c r="D134" s="351">
        <v>90955</v>
      </c>
      <c r="E134" s="351">
        <v>95540</v>
      </c>
      <c r="F134" s="351">
        <v>100356</v>
      </c>
      <c r="G134" s="351">
        <v>105421</v>
      </c>
    </row>
    <row r="135" spans="1:7" ht="12" customHeight="1" x14ac:dyDescent="0.2">
      <c r="A135" s="349" t="s">
        <v>494</v>
      </c>
      <c r="B135" s="350" t="s">
        <v>447</v>
      </c>
      <c r="C135" s="351">
        <v>115602</v>
      </c>
      <c r="D135" s="351">
        <v>121433</v>
      </c>
      <c r="E135" s="351">
        <v>127553</v>
      </c>
      <c r="F135" s="351">
        <v>133985</v>
      </c>
      <c r="G135" s="351">
        <v>140744</v>
      </c>
    </row>
    <row r="136" spans="1:7" ht="12" customHeight="1" x14ac:dyDescent="0.2">
      <c r="A136" s="349" t="s">
        <v>495</v>
      </c>
      <c r="B136" s="350" t="s">
        <v>451</v>
      </c>
      <c r="C136" s="351">
        <v>144845</v>
      </c>
      <c r="D136" s="351">
        <v>152149</v>
      </c>
      <c r="E136" s="351">
        <v>159821</v>
      </c>
      <c r="F136" s="351">
        <v>167877</v>
      </c>
      <c r="G136" s="351">
        <v>176343</v>
      </c>
    </row>
    <row r="137" spans="1:7" ht="12" customHeight="1" x14ac:dyDescent="0.2">
      <c r="A137" s="349" t="s">
        <v>496</v>
      </c>
      <c r="B137" s="350" t="s">
        <v>451</v>
      </c>
      <c r="C137" s="351">
        <v>144845</v>
      </c>
      <c r="D137" s="351">
        <v>152149</v>
      </c>
      <c r="E137" s="351">
        <v>159821</v>
      </c>
      <c r="F137" s="351">
        <v>167877</v>
      </c>
      <c r="G137" s="351">
        <v>176343</v>
      </c>
    </row>
    <row r="138" spans="1:7" ht="12" customHeight="1" x14ac:dyDescent="0.2">
      <c r="A138" s="349" t="s">
        <v>844</v>
      </c>
      <c r="B138" s="350" t="s">
        <v>451</v>
      </c>
      <c r="C138" s="351">
        <v>144845</v>
      </c>
      <c r="D138" s="351">
        <v>152149</v>
      </c>
      <c r="E138" s="351">
        <v>159821</v>
      </c>
      <c r="F138" s="351">
        <v>167877</v>
      </c>
      <c r="G138" s="351">
        <v>176343</v>
      </c>
    </row>
    <row r="139" spans="1:7" ht="12" customHeight="1" x14ac:dyDescent="0.2">
      <c r="A139" s="349" t="s">
        <v>497</v>
      </c>
      <c r="B139" s="350" t="s">
        <v>451</v>
      </c>
      <c r="C139" s="351">
        <v>144845</v>
      </c>
      <c r="D139" s="351">
        <v>152149</v>
      </c>
      <c r="E139" s="351">
        <v>159821</v>
      </c>
      <c r="F139" s="351">
        <v>167877</v>
      </c>
      <c r="G139" s="351">
        <v>176343</v>
      </c>
    </row>
    <row r="140" spans="1:7" ht="12" customHeight="1" x14ac:dyDescent="0.2">
      <c r="A140" s="349" t="s">
        <v>498</v>
      </c>
      <c r="B140" s="350" t="s">
        <v>210</v>
      </c>
      <c r="C140" s="351">
        <v>64406</v>
      </c>
      <c r="D140" s="351">
        <v>67654</v>
      </c>
      <c r="E140" s="351">
        <v>71066</v>
      </c>
      <c r="F140" s="351">
        <v>74648</v>
      </c>
      <c r="G140" s="351">
        <v>78412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G284"/>
  <sheetViews>
    <sheetView workbookViewId="0"/>
  </sheetViews>
  <sheetFormatPr defaultRowHeight="12.75" x14ac:dyDescent="0.2"/>
  <cols>
    <col min="1" max="1" width="77.85546875" style="348" customWidth="1"/>
    <col min="2" max="2" width="8" style="348" customWidth="1"/>
    <col min="3" max="3" width="10.85546875" style="348" customWidth="1"/>
    <col min="4" max="4" width="12" style="348" customWidth="1"/>
    <col min="5" max="5" width="10.85546875" style="348" customWidth="1"/>
    <col min="6" max="6" width="12" style="348" customWidth="1"/>
    <col min="7" max="7" width="10.85546875" style="348" customWidth="1"/>
    <col min="8" max="16384" width="9.140625" style="348"/>
  </cols>
  <sheetData>
    <row r="1" spans="1:7" ht="14.1" customHeight="1" x14ac:dyDescent="0.2">
      <c r="A1" s="369" t="s">
        <v>1093</v>
      </c>
      <c r="B1" s="370" t="s">
        <v>1094</v>
      </c>
      <c r="C1" s="370" t="s">
        <v>1095</v>
      </c>
      <c r="D1" s="370" t="s">
        <v>1096</v>
      </c>
      <c r="E1" s="370" t="s">
        <v>1097</v>
      </c>
      <c r="F1" s="370" t="s">
        <v>1098</v>
      </c>
      <c r="G1" s="370" t="s">
        <v>1099</v>
      </c>
    </row>
    <row r="2" spans="1:7" s="374" customFormat="1" ht="15" customHeight="1" x14ac:dyDescent="0.2">
      <c r="A2" s="371"/>
      <c r="B2" s="372"/>
      <c r="C2" s="373"/>
      <c r="D2" s="373"/>
      <c r="E2" s="373"/>
      <c r="F2" s="373"/>
      <c r="G2" s="373"/>
    </row>
    <row r="3" spans="1:7" ht="14.1" customHeight="1" x14ac:dyDescent="0.2">
      <c r="A3" s="349" t="s">
        <v>185</v>
      </c>
      <c r="B3" s="350" t="s">
        <v>186</v>
      </c>
      <c r="C3" s="351">
        <v>54672</v>
      </c>
      <c r="D3" s="351">
        <v>57420</v>
      </c>
      <c r="E3" s="351">
        <v>60348</v>
      </c>
      <c r="F3" s="351">
        <v>63348</v>
      </c>
      <c r="G3" s="351">
        <v>66552</v>
      </c>
    </row>
    <row r="4" spans="1:7" ht="14.1" customHeight="1" x14ac:dyDescent="0.2">
      <c r="A4" s="349" t="s">
        <v>1100</v>
      </c>
      <c r="B4" s="350" t="s">
        <v>210</v>
      </c>
      <c r="C4" s="351">
        <v>60288</v>
      </c>
      <c r="D4" s="351">
        <v>63276</v>
      </c>
      <c r="E4" s="351">
        <v>66492</v>
      </c>
      <c r="F4" s="351">
        <v>69828</v>
      </c>
      <c r="G4" s="351">
        <v>73356</v>
      </c>
    </row>
    <row r="5" spans="1:7" ht="14.1" customHeight="1" x14ac:dyDescent="0.2">
      <c r="A5" s="349" t="s">
        <v>187</v>
      </c>
      <c r="B5" s="350" t="s">
        <v>188</v>
      </c>
      <c r="C5" s="351">
        <v>41460</v>
      </c>
      <c r="D5" s="351">
        <v>43548</v>
      </c>
      <c r="E5" s="351">
        <v>45744</v>
      </c>
      <c r="F5" s="351">
        <v>48036</v>
      </c>
      <c r="G5" s="351">
        <v>50472</v>
      </c>
    </row>
    <row r="6" spans="1:7" ht="14.1" customHeight="1" x14ac:dyDescent="0.2">
      <c r="A6" s="349" t="s">
        <v>189</v>
      </c>
      <c r="B6" s="350" t="s">
        <v>186</v>
      </c>
      <c r="C6" s="351">
        <v>54672</v>
      </c>
      <c r="D6" s="351">
        <v>57420</v>
      </c>
      <c r="E6" s="351">
        <v>60348</v>
      </c>
      <c r="F6" s="351">
        <v>63348</v>
      </c>
      <c r="G6" s="351">
        <v>66552</v>
      </c>
    </row>
    <row r="7" spans="1:7" ht="14.1" customHeight="1" x14ac:dyDescent="0.2">
      <c r="A7" s="349" t="s">
        <v>190</v>
      </c>
      <c r="B7" s="350" t="s">
        <v>191</v>
      </c>
      <c r="C7" s="351">
        <v>62964</v>
      </c>
      <c r="D7" s="351">
        <v>66132</v>
      </c>
      <c r="E7" s="351">
        <v>69492</v>
      </c>
      <c r="F7" s="351">
        <v>72948</v>
      </c>
      <c r="G7" s="351">
        <v>76656</v>
      </c>
    </row>
    <row r="8" spans="1:7" ht="14.1" customHeight="1" x14ac:dyDescent="0.2">
      <c r="A8" s="349" t="s">
        <v>845</v>
      </c>
      <c r="B8" s="350" t="s">
        <v>192</v>
      </c>
      <c r="C8" s="351">
        <v>45444</v>
      </c>
      <c r="D8" s="351">
        <v>47724</v>
      </c>
      <c r="E8" s="351">
        <v>50148</v>
      </c>
      <c r="F8" s="351">
        <v>52656</v>
      </c>
      <c r="G8" s="351">
        <v>55320</v>
      </c>
    </row>
    <row r="9" spans="1:7" ht="14.1" customHeight="1" x14ac:dyDescent="0.2">
      <c r="A9" s="349" t="s">
        <v>846</v>
      </c>
      <c r="B9" s="350" t="s">
        <v>193</v>
      </c>
      <c r="C9" s="351">
        <v>50052</v>
      </c>
      <c r="D9" s="351">
        <v>52572</v>
      </c>
      <c r="E9" s="351">
        <v>55212</v>
      </c>
      <c r="F9" s="351">
        <v>57996</v>
      </c>
      <c r="G9" s="351">
        <v>60936</v>
      </c>
    </row>
    <row r="10" spans="1:7" ht="14.1" customHeight="1" x14ac:dyDescent="0.2">
      <c r="A10" s="349" t="s">
        <v>194</v>
      </c>
      <c r="B10" s="350" t="s">
        <v>195</v>
      </c>
      <c r="C10" s="351">
        <v>57924</v>
      </c>
      <c r="D10" s="351">
        <v>60840</v>
      </c>
      <c r="E10" s="351">
        <v>63936</v>
      </c>
      <c r="F10" s="351">
        <v>67152</v>
      </c>
      <c r="G10" s="351">
        <v>70524</v>
      </c>
    </row>
    <row r="11" spans="1:7" ht="14.1" customHeight="1" x14ac:dyDescent="0.2">
      <c r="A11" s="349" t="s">
        <v>196</v>
      </c>
      <c r="B11" s="350" t="s">
        <v>197</v>
      </c>
      <c r="C11" s="351">
        <v>65604</v>
      </c>
      <c r="D11" s="351">
        <v>68928</v>
      </c>
      <c r="E11" s="351">
        <v>72372</v>
      </c>
      <c r="F11" s="351">
        <v>76032</v>
      </c>
      <c r="G11" s="351">
        <v>79896</v>
      </c>
    </row>
    <row r="12" spans="1:7" ht="14.1" customHeight="1" x14ac:dyDescent="0.2">
      <c r="A12" s="349" t="s">
        <v>198</v>
      </c>
      <c r="B12" s="350" t="s">
        <v>188</v>
      </c>
      <c r="C12" s="351">
        <v>41460</v>
      </c>
      <c r="D12" s="351">
        <v>43548</v>
      </c>
      <c r="E12" s="351">
        <v>45744</v>
      </c>
      <c r="F12" s="351">
        <v>48036</v>
      </c>
      <c r="G12" s="351">
        <v>50472</v>
      </c>
    </row>
    <row r="13" spans="1:7" ht="14.1" customHeight="1" x14ac:dyDescent="0.2">
      <c r="A13" s="349" t="s">
        <v>199</v>
      </c>
      <c r="B13" s="350" t="s">
        <v>192</v>
      </c>
      <c r="C13" s="351">
        <v>45444</v>
      </c>
      <c r="D13" s="351">
        <v>47724</v>
      </c>
      <c r="E13" s="351">
        <v>50148</v>
      </c>
      <c r="F13" s="351">
        <v>52656</v>
      </c>
      <c r="G13" s="351">
        <v>55320</v>
      </c>
    </row>
    <row r="14" spans="1:7" ht="14.1" customHeight="1" x14ac:dyDescent="0.2">
      <c r="A14" s="349" t="s">
        <v>200</v>
      </c>
      <c r="B14" s="350" t="s">
        <v>193</v>
      </c>
      <c r="C14" s="351">
        <v>50052</v>
      </c>
      <c r="D14" s="351">
        <v>52572</v>
      </c>
      <c r="E14" s="351">
        <v>55212</v>
      </c>
      <c r="F14" s="351">
        <v>57996</v>
      </c>
      <c r="G14" s="351">
        <v>60936</v>
      </c>
    </row>
    <row r="15" spans="1:7" ht="14.1" customHeight="1" x14ac:dyDescent="0.2">
      <c r="A15" s="349" t="s">
        <v>201</v>
      </c>
      <c r="B15" s="350" t="s">
        <v>186</v>
      </c>
      <c r="C15" s="351">
        <v>54672</v>
      </c>
      <c r="D15" s="351">
        <v>57420</v>
      </c>
      <c r="E15" s="351">
        <v>60348</v>
      </c>
      <c r="F15" s="351">
        <v>63348</v>
      </c>
      <c r="G15" s="351">
        <v>66552</v>
      </c>
    </row>
    <row r="16" spans="1:7" ht="14.1" customHeight="1" x14ac:dyDescent="0.2">
      <c r="A16" s="349" t="s">
        <v>202</v>
      </c>
      <c r="B16" s="350" t="s">
        <v>203</v>
      </c>
      <c r="C16" s="351">
        <v>37896</v>
      </c>
      <c r="D16" s="351">
        <v>39828</v>
      </c>
      <c r="E16" s="351">
        <v>41844</v>
      </c>
      <c r="F16" s="351">
        <v>43944</v>
      </c>
      <c r="G16" s="351">
        <v>46152</v>
      </c>
    </row>
    <row r="17" spans="1:7" ht="14.1" customHeight="1" x14ac:dyDescent="0.2">
      <c r="A17" s="349" t="s">
        <v>204</v>
      </c>
      <c r="B17" s="349" t="s">
        <v>205</v>
      </c>
      <c r="C17" s="351">
        <v>80124</v>
      </c>
      <c r="D17" s="351">
        <v>84168</v>
      </c>
      <c r="E17" s="351">
        <v>88416</v>
      </c>
      <c r="F17" s="351">
        <v>92880</v>
      </c>
      <c r="G17" s="351">
        <v>97536</v>
      </c>
    </row>
    <row r="18" spans="1:7" ht="14.1" customHeight="1" x14ac:dyDescent="0.2">
      <c r="A18" s="349" t="s">
        <v>206</v>
      </c>
      <c r="B18" s="349" t="s">
        <v>207</v>
      </c>
      <c r="C18" s="351">
        <v>62964</v>
      </c>
      <c r="D18" s="351">
        <v>66132</v>
      </c>
      <c r="E18" s="351">
        <v>69492</v>
      </c>
      <c r="F18" s="351">
        <v>72948</v>
      </c>
      <c r="G18" s="351">
        <v>76656</v>
      </c>
    </row>
    <row r="19" spans="1:7" ht="14.1" customHeight="1" x14ac:dyDescent="0.2">
      <c r="A19" s="349" t="s">
        <v>208</v>
      </c>
      <c r="B19" s="350" t="s">
        <v>195</v>
      </c>
      <c r="C19" s="351">
        <v>57924</v>
      </c>
      <c r="D19" s="351">
        <v>60840</v>
      </c>
      <c r="E19" s="351">
        <v>63936</v>
      </c>
      <c r="F19" s="351">
        <v>67152</v>
      </c>
      <c r="G19" s="351">
        <v>70524</v>
      </c>
    </row>
    <row r="20" spans="1:7" ht="14.1" customHeight="1" x14ac:dyDescent="0.2">
      <c r="A20" s="349" t="s">
        <v>209</v>
      </c>
      <c r="B20" s="350" t="s">
        <v>210</v>
      </c>
      <c r="C20" s="351">
        <v>60288</v>
      </c>
      <c r="D20" s="351">
        <v>63276</v>
      </c>
      <c r="E20" s="351">
        <v>66492</v>
      </c>
      <c r="F20" s="351">
        <v>69828</v>
      </c>
      <c r="G20" s="351">
        <v>73356</v>
      </c>
    </row>
    <row r="21" spans="1:7" ht="14.1" customHeight="1" x14ac:dyDescent="0.2">
      <c r="A21" s="349" t="s">
        <v>211</v>
      </c>
      <c r="B21" s="350" t="s">
        <v>212</v>
      </c>
      <c r="C21" s="351">
        <v>76092</v>
      </c>
      <c r="D21" s="351">
        <v>79956</v>
      </c>
      <c r="E21" s="351">
        <v>83964</v>
      </c>
      <c r="F21" s="351">
        <v>88188</v>
      </c>
      <c r="G21" s="351">
        <v>92616</v>
      </c>
    </row>
    <row r="22" spans="1:7" ht="14.1" customHeight="1" x14ac:dyDescent="0.2">
      <c r="A22" s="349" t="s">
        <v>213</v>
      </c>
      <c r="B22" s="350" t="s">
        <v>192</v>
      </c>
      <c r="C22" s="351">
        <v>45444</v>
      </c>
      <c r="D22" s="351">
        <v>47724</v>
      </c>
      <c r="E22" s="351">
        <v>50148</v>
      </c>
      <c r="F22" s="351">
        <v>52656</v>
      </c>
      <c r="G22" s="351">
        <v>55320</v>
      </c>
    </row>
    <row r="23" spans="1:7" ht="14.1" customHeight="1" x14ac:dyDescent="0.2">
      <c r="A23" s="349" t="s">
        <v>214</v>
      </c>
      <c r="B23" s="350" t="s">
        <v>186</v>
      </c>
      <c r="C23" s="351">
        <v>54672</v>
      </c>
      <c r="D23" s="351">
        <v>57420</v>
      </c>
      <c r="E23" s="351">
        <v>60348</v>
      </c>
      <c r="F23" s="351">
        <v>63348</v>
      </c>
      <c r="G23" s="351">
        <v>66552</v>
      </c>
    </row>
    <row r="24" spans="1:7" ht="14.1" customHeight="1" x14ac:dyDescent="0.2">
      <c r="A24" s="349" t="s">
        <v>847</v>
      </c>
      <c r="B24" s="350" t="s">
        <v>193</v>
      </c>
      <c r="C24" s="351">
        <v>50052</v>
      </c>
      <c r="D24" s="351">
        <v>52572</v>
      </c>
      <c r="E24" s="351">
        <v>55212</v>
      </c>
      <c r="F24" s="351">
        <v>57996</v>
      </c>
      <c r="G24" s="351">
        <v>60936</v>
      </c>
    </row>
    <row r="25" spans="1:7" ht="14.1" customHeight="1" x14ac:dyDescent="0.2">
      <c r="A25" s="349" t="s">
        <v>215</v>
      </c>
      <c r="B25" s="350" t="s">
        <v>192</v>
      </c>
      <c r="C25" s="351">
        <v>45444</v>
      </c>
      <c r="D25" s="351">
        <v>47724</v>
      </c>
      <c r="E25" s="351">
        <v>50148</v>
      </c>
      <c r="F25" s="351">
        <v>52656</v>
      </c>
      <c r="G25" s="351">
        <v>55320</v>
      </c>
    </row>
    <row r="26" spans="1:7" ht="14.1" customHeight="1" x14ac:dyDescent="0.2">
      <c r="A26" s="349" t="s">
        <v>216</v>
      </c>
      <c r="B26" s="350" t="s">
        <v>217</v>
      </c>
      <c r="C26" s="351">
        <v>43344</v>
      </c>
      <c r="D26" s="351">
        <v>45576</v>
      </c>
      <c r="E26" s="351">
        <v>47820</v>
      </c>
      <c r="F26" s="351">
        <v>50244</v>
      </c>
      <c r="G26" s="351">
        <v>52776</v>
      </c>
    </row>
    <row r="27" spans="1:7" ht="14.1" customHeight="1" x14ac:dyDescent="0.2">
      <c r="A27" s="349" t="s">
        <v>218</v>
      </c>
      <c r="B27" s="350" t="s">
        <v>193</v>
      </c>
      <c r="C27" s="351">
        <v>50052</v>
      </c>
      <c r="D27" s="351">
        <v>52572</v>
      </c>
      <c r="E27" s="351">
        <v>55212</v>
      </c>
      <c r="F27" s="351">
        <v>57996</v>
      </c>
      <c r="G27" s="351">
        <v>60936</v>
      </c>
    </row>
    <row r="28" spans="1:7" ht="14.1" customHeight="1" x14ac:dyDescent="0.2">
      <c r="A28" s="349" t="s">
        <v>219</v>
      </c>
      <c r="B28" s="350" t="s">
        <v>210</v>
      </c>
      <c r="C28" s="351">
        <v>60288</v>
      </c>
      <c r="D28" s="351">
        <v>63276</v>
      </c>
      <c r="E28" s="351">
        <v>66492</v>
      </c>
      <c r="F28" s="351">
        <v>69828</v>
      </c>
      <c r="G28" s="351">
        <v>73356</v>
      </c>
    </row>
    <row r="29" spans="1:7" ht="14.1" customHeight="1" x14ac:dyDescent="0.2">
      <c r="A29" s="349" t="s">
        <v>220</v>
      </c>
      <c r="B29" s="350" t="s">
        <v>192</v>
      </c>
      <c r="C29" s="351">
        <v>45444</v>
      </c>
      <c r="D29" s="351">
        <v>47724</v>
      </c>
      <c r="E29" s="351">
        <v>50148</v>
      </c>
      <c r="F29" s="351">
        <v>52656</v>
      </c>
      <c r="G29" s="351">
        <v>55320</v>
      </c>
    </row>
    <row r="30" spans="1:7" ht="14.1" customHeight="1" x14ac:dyDescent="0.2">
      <c r="A30" s="349" t="s">
        <v>221</v>
      </c>
      <c r="B30" s="350" t="s">
        <v>222</v>
      </c>
      <c r="C30" s="351">
        <v>47832</v>
      </c>
      <c r="D30" s="351">
        <v>50268</v>
      </c>
      <c r="E30" s="351">
        <v>52812</v>
      </c>
      <c r="F30" s="351">
        <v>55440</v>
      </c>
      <c r="G30" s="351">
        <v>58248</v>
      </c>
    </row>
    <row r="31" spans="1:7" ht="14.1" customHeight="1" x14ac:dyDescent="0.2">
      <c r="A31" s="349" t="s">
        <v>223</v>
      </c>
      <c r="B31" s="350" t="s">
        <v>192</v>
      </c>
      <c r="C31" s="351">
        <v>45444</v>
      </c>
      <c r="D31" s="351">
        <v>47724</v>
      </c>
      <c r="E31" s="351">
        <v>50148</v>
      </c>
      <c r="F31" s="351">
        <v>52656</v>
      </c>
      <c r="G31" s="351">
        <v>55320</v>
      </c>
    </row>
    <row r="32" spans="1:7" ht="14.1" customHeight="1" x14ac:dyDescent="0.2">
      <c r="A32" s="349" t="s">
        <v>848</v>
      </c>
      <c r="B32" s="350" t="s">
        <v>188</v>
      </c>
      <c r="C32" s="351">
        <v>41460</v>
      </c>
      <c r="D32" s="351">
        <v>43548</v>
      </c>
      <c r="E32" s="351">
        <v>45744</v>
      </c>
      <c r="F32" s="351">
        <v>48036</v>
      </c>
      <c r="G32" s="351">
        <v>50472</v>
      </c>
    </row>
    <row r="33" spans="1:7" ht="14.1" customHeight="1" x14ac:dyDescent="0.2">
      <c r="A33" s="349" t="s">
        <v>224</v>
      </c>
      <c r="B33" s="350" t="s">
        <v>197</v>
      </c>
      <c r="C33" s="351">
        <v>65604</v>
      </c>
      <c r="D33" s="351">
        <v>68928</v>
      </c>
      <c r="E33" s="351">
        <v>72372</v>
      </c>
      <c r="F33" s="351">
        <v>76032</v>
      </c>
      <c r="G33" s="351">
        <v>79896</v>
      </c>
    </row>
    <row r="34" spans="1:7" ht="14.1" customHeight="1" x14ac:dyDescent="0.2">
      <c r="A34" s="349" t="s">
        <v>225</v>
      </c>
      <c r="B34" s="350" t="s">
        <v>186</v>
      </c>
      <c r="C34" s="351">
        <v>54672</v>
      </c>
      <c r="D34" s="351">
        <v>57420</v>
      </c>
      <c r="E34" s="351">
        <v>60348</v>
      </c>
      <c r="F34" s="351">
        <v>63348</v>
      </c>
      <c r="G34" s="351">
        <v>66552</v>
      </c>
    </row>
    <row r="35" spans="1:7" ht="14.1" customHeight="1" x14ac:dyDescent="0.2">
      <c r="A35" s="349" t="s">
        <v>226</v>
      </c>
      <c r="B35" s="350" t="s">
        <v>193</v>
      </c>
      <c r="C35" s="351">
        <v>50052</v>
      </c>
      <c r="D35" s="351">
        <v>52572</v>
      </c>
      <c r="E35" s="351">
        <v>55212</v>
      </c>
      <c r="F35" s="351">
        <v>57996</v>
      </c>
      <c r="G35" s="351">
        <v>60936</v>
      </c>
    </row>
    <row r="36" spans="1:7" ht="14.1" customHeight="1" x14ac:dyDescent="0.2">
      <c r="A36" s="349" t="s">
        <v>227</v>
      </c>
      <c r="B36" s="350" t="s">
        <v>444</v>
      </c>
      <c r="C36" s="351">
        <v>84768</v>
      </c>
      <c r="D36" s="351">
        <v>89052</v>
      </c>
      <c r="E36" s="351">
        <v>93540</v>
      </c>
      <c r="F36" s="351">
        <v>98244</v>
      </c>
      <c r="G36" s="351">
        <v>103176</v>
      </c>
    </row>
    <row r="37" spans="1:7" ht="14.1" customHeight="1" x14ac:dyDescent="0.2">
      <c r="A37" s="349" t="s">
        <v>228</v>
      </c>
      <c r="B37" s="350" t="s">
        <v>197</v>
      </c>
      <c r="C37" s="351">
        <v>65604</v>
      </c>
      <c r="D37" s="351">
        <v>68928</v>
      </c>
      <c r="E37" s="351">
        <v>72372</v>
      </c>
      <c r="F37" s="351">
        <v>76032</v>
      </c>
      <c r="G37" s="351">
        <v>79896</v>
      </c>
    </row>
    <row r="38" spans="1:7" ht="14.1" customHeight="1" x14ac:dyDescent="0.2">
      <c r="A38" s="349" t="s">
        <v>849</v>
      </c>
      <c r="B38" s="350" t="s">
        <v>186</v>
      </c>
      <c r="C38" s="351">
        <v>54672</v>
      </c>
      <c r="D38" s="351">
        <v>57420</v>
      </c>
      <c r="E38" s="351">
        <v>60348</v>
      </c>
      <c r="F38" s="351">
        <v>63348</v>
      </c>
      <c r="G38" s="351">
        <v>66552</v>
      </c>
    </row>
    <row r="39" spans="1:7" ht="14.1" customHeight="1" x14ac:dyDescent="0.2">
      <c r="A39" s="349" t="s">
        <v>229</v>
      </c>
      <c r="B39" s="350" t="s">
        <v>188</v>
      </c>
      <c r="C39" s="351">
        <v>41460</v>
      </c>
      <c r="D39" s="351">
        <v>43548</v>
      </c>
      <c r="E39" s="351">
        <v>45744</v>
      </c>
      <c r="F39" s="351">
        <v>48036</v>
      </c>
      <c r="G39" s="351">
        <v>50472</v>
      </c>
    </row>
    <row r="40" spans="1:7" ht="14.1" customHeight="1" x14ac:dyDescent="0.2">
      <c r="A40" s="349" t="s">
        <v>1101</v>
      </c>
      <c r="B40" s="350" t="s">
        <v>186</v>
      </c>
      <c r="C40" s="351">
        <v>54672</v>
      </c>
      <c r="D40" s="351">
        <v>57420</v>
      </c>
      <c r="E40" s="351">
        <v>60348</v>
      </c>
      <c r="F40" s="351">
        <v>63348</v>
      </c>
      <c r="G40" s="351">
        <v>66552</v>
      </c>
    </row>
    <row r="41" spans="1:7" ht="14.1" customHeight="1" x14ac:dyDescent="0.2">
      <c r="A41" s="349" t="s">
        <v>850</v>
      </c>
      <c r="B41" s="350" t="s">
        <v>230</v>
      </c>
      <c r="C41" s="351">
        <v>68748</v>
      </c>
      <c r="D41" s="351">
        <v>72228</v>
      </c>
      <c r="E41" s="351">
        <v>75876</v>
      </c>
      <c r="F41" s="351">
        <v>79692</v>
      </c>
      <c r="G41" s="351">
        <v>83712</v>
      </c>
    </row>
    <row r="42" spans="1:7" ht="14.1" customHeight="1" x14ac:dyDescent="0.2">
      <c r="A42" s="349" t="s">
        <v>231</v>
      </c>
      <c r="B42" s="350" t="s">
        <v>192</v>
      </c>
      <c r="C42" s="351">
        <v>45444</v>
      </c>
      <c r="D42" s="351">
        <v>47724</v>
      </c>
      <c r="E42" s="351">
        <v>50148</v>
      </c>
      <c r="F42" s="351">
        <v>52656</v>
      </c>
      <c r="G42" s="351">
        <v>55320</v>
      </c>
    </row>
    <row r="43" spans="1:7" ht="14.1" customHeight="1" x14ac:dyDescent="0.2">
      <c r="A43" s="349" t="s">
        <v>851</v>
      </c>
      <c r="B43" s="350" t="s">
        <v>191</v>
      </c>
      <c r="C43" s="351">
        <v>62964</v>
      </c>
      <c r="D43" s="351">
        <v>66132</v>
      </c>
      <c r="E43" s="351">
        <v>69492</v>
      </c>
      <c r="F43" s="351">
        <v>72948</v>
      </c>
      <c r="G43" s="351">
        <v>76656</v>
      </c>
    </row>
    <row r="44" spans="1:7" ht="14.1" customHeight="1" x14ac:dyDescent="0.2">
      <c r="A44" s="349" t="s">
        <v>232</v>
      </c>
      <c r="B44" s="350" t="s">
        <v>192</v>
      </c>
      <c r="C44" s="351">
        <v>45444</v>
      </c>
      <c r="D44" s="351">
        <v>47724</v>
      </c>
      <c r="E44" s="351">
        <v>50148</v>
      </c>
      <c r="F44" s="351">
        <v>52656</v>
      </c>
      <c r="G44" s="351">
        <v>55320</v>
      </c>
    </row>
    <row r="45" spans="1:7" ht="14.1" customHeight="1" x14ac:dyDescent="0.2">
      <c r="A45" s="349" t="s">
        <v>233</v>
      </c>
      <c r="B45" s="350" t="s">
        <v>197</v>
      </c>
      <c r="C45" s="351">
        <v>65604</v>
      </c>
      <c r="D45" s="351">
        <v>68928</v>
      </c>
      <c r="E45" s="351">
        <v>72372</v>
      </c>
      <c r="F45" s="351">
        <v>76032</v>
      </c>
      <c r="G45" s="351">
        <v>79896</v>
      </c>
    </row>
    <row r="46" spans="1:7" ht="14.1" customHeight="1" x14ac:dyDescent="0.2">
      <c r="A46" s="349" t="s">
        <v>234</v>
      </c>
      <c r="B46" s="350" t="s">
        <v>197</v>
      </c>
      <c r="C46" s="351">
        <v>65604</v>
      </c>
      <c r="D46" s="351">
        <v>68928</v>
      </c>
      <c r="E46" s="351">
        <v>72372</v>
      </c>
      <c r="F46" s="351">
        <v>76032</v>
      </c>
      <c r="G46" s="351">
        <v>79896</v>
      </c>
    </row>
    <row r="47" spans="1:7" ht="14.1" customHeight="1" x14ac:dyDescent="0.2">
      <c r="A47" s="349" t="s">
        <v>235</v>
      </c>
      <c r="B47" s="350" t="s">
        <v>236</v>
      </c>
      <c r="C47" s="351">
        <v>52248</v>
      </c>
      <c r="D47" s="351">
        <v>54888</v>
      </c>
      <c r="E47" s="351">
        <v>57660</v>
      </c>
      <c r="F47" s="351">
        <v>60540</v>
      </c>
      <c r="G47" s="351">
        <v>63624</v>
      </c>
    </row>
    <row r="48" spans="1:7" ht="14.1" customHeight="1" x14ac:dyDescent="0.2">
      <c r="A48" s="349" t="s">
        <v>237</v>
      </c>
      <c r="B48" s="350" t="s">
        <v>188</v>
      </c>
      <c r="C48" s="351">
        <v>41460</v>
      </c>
      <c r="D48" s="351">
        <v>43548</v>
      </c>
      <c r="E48" s="351">
        <v>45744</v>
      </c>
      <c r="F48" s="351">
        <v>48036</v>
      </c>
      <c r="G48" s="351">
        <v>50472</v>
      </c>
    </row>
    <row r="49" spans="1:7" ht="14.1" customHeight="1" x14ac:dyDescent="0.2">
      <c r="A49" s="349" t="s">
        <v>852</v>
      </c>
      <c r="B49" s="350" t="s">
        <v>210</v>
      </c>
      <c r="C49" s="351">
        <v>60288</v>
      </c>
      <c r="D49" s="351">
        <v>63276</v>
      </c>
      <c r="E49" s="351">
        <v>66492</v>
      </c>
      <c r="F49" s="351">
        <v>69828</v>
      </c>
      <c r="G49" s="351">
        <v>73356</v>
      </c>
    </row>
    <row r="50" spans="1:7" ht="14.1" customHeight="1" x14ac:dyDescent="0.2">
      <c r="A50" s="349" t="s">
        <v>1102</v>
      </c>
      <c r="B50" s="350" t="s">
        <v>259</v>
      </c>
      <c r="C50" s="351">
        <v>72264</v>
      </c>
      <c r="D50" s="351">
        <v>75912</v>
      </c>
      <c r="E50" s="351">
        <v>79728</v>
      </c>
      <c r="F50" s="351">
        <v>83760</v>
      </c>
      <c r="G50" s="351">
        <v>87972</v>
      </c>
    </row>
    <row r="51" spans="1:7" ht="14.1" customHeight="1" x14ac:dyDescent="0.2">
      <c r="A51" s="349" t="s">
        <v>238</v>
      </c>
      <c r="B51" s="350" t="s">
        <v>203</v>
      </c>
      <c r="C51" s="351">
        <v>37896</v>
      </c>
      <c r="D51" s="351">
        <v>39828</v>
      </c>
      <c r="E51" s="351">
        <v>41844</v>
      </c>
      <c r="F51" s="351">
        <v>43944</v>
      </c>
      <c r="G51" s="351">
        <v>46152</v>
      </c>
    </row>
    <row r="52" spans="1:7" ht="14.1" customHeight="1" x14ac:dyDescent="0.2">
      <c r="A52" s="349" t="s">
        <v>853</v>
      </c>
      <c r="B52" s="350" t="s">
        <v>197</v>
      </c>
      <c r="C52" s="351">
        <v>65604</v>
      </c>
      <c r="D52" s="351">
        <v>68928</v>
      </c>
      <c r="E52" s="351">
        <v>72372</v>
      </c>
      <c r="F52" s="351">
        <v>76032</v>
      </c>
      <c r="G52" s="351">
        <v>79896</v>
      </c>
    </row>
    <row r="53" spans="1:7" ht="14.1" customHeight="1" x14ac:dyDescent="0.2">
      <c r="A53" s="349" t="s">
        <v>239</v>
      </c>
      <c r="B53" s="350" t="s">
        <v>192</v>
      </c>
      <c r="C53" s="351">
        <v>45444</v>
      </c>
      <c r="D53" s="351">
        <v>47724</v>
      </c>
      <c r="E53" s="351">
        <v>50148</v>
      </c>
      <c r="F53" s="351">
        <v>52656</v>
      </c>
      <c r="G53" s="351">
        <v>55320</v>
      </c>
    </row>
    <row r="54" spans="1:7" ht="14.1" customHeight="1" x14ac:dyDescent="0.2">
      <c r="A54" s="349" t="s">
        <v>1103</v>
      </c>
      <c r="B54" s="350" t="s">
        <v>188</v>
      </c>
      <c r="C54" s="351">
        <v>41460</v>
      </c>
      <c r="D54" s="351">
        <v>43548</v>
      </c>
      <c r="E54" s="351">
        <v>45744</v>
      </c>
      <c r="F54" s="351">
        <v>48036</v>
      </c>
      <c r="G54" s="351">
        <v>50472</v>
      </c>
    </row>
    <row r="55" spans="1:7" ht="14.1" customHeight="1" x14ac:dyDescent="0.2">
      <c r="A55" s="349" t="s">
        <v>240</v>
      </c>
      <c r="B55" s="350" t="s">
        <v>192</v>
      </c>
      <c r="C55" s="351">
        <v>45444</v>
      </c>
      <c r="D55" s="351">
        <v>47724</v>
      </c>
      <c r="E55" s="351">
        <v>50148</v>
      </c>
      <c r="F55" s="351">
        <v>52656</v>
      </c>
      <c r="G55" s="351">
        <v>55320</v>
      </c>
    </row>
    <row r="56" spans="1:7" ht="14.1" customHeight="1" x14ac:dyDescent="0.2">
      <c r="A56" s="349" t="s">
        <v>241</v>
      </c>
      <c r="B56" s="350" t="s">
        <v>230</v>
      </c>
      <c r="C56" s="351">
        <v>68748</v>
      </c>
      <c r="D56" s="351">
        <v>72228</v>
      </c>
      <c r="E56" s="351">
        <v>75876</v>
      </c>
      <c r="F56" s="351">
        <v>79692</v>
      </c>
      <c r="G56" s="351">
        <v>83712</v>
      </c>
    </row>
    <row r="57" spans="1:7" ht="14.1" customHeight="1" x14ac:dyDescent="0.2">
      <c r="A57" s="349" t="s">
        <v>242</v>
      </c>
      <c r="B57" s="350" t="s">
        <v>203</v>
      </c>
      <c r="C57" s="351">
        <v>37896</v>
      </c>
      <c r="D57" s="351">
        <v>39828</v>
      </c>
      <c r="E57" s="351">
        <v>41844</v>
      </c>
      <c r="F57" s="351">
        <v>43944</v>
      </c>
      <c r="G57" s="351">
        <v>46152</v>
      </c>
    </row>
    <row r="58" spans="1:7" ht="14.1" customHeight="1" x14ac:dyDescent="0.2">
      <c r="A58" s="349" t="s">
        <v>243</v>
      </c>
      <c r="B58" s="350" t="s">
        <v>192</v>
      </c>
      <c r="C58" s="351">
        <v>45444</v>
      </c>
      <c r="D58" s="351">
        <v>47724</v>
      </c>
      <c r="E58" s="351">
        <v>50148</v>
      </c>
      <c r="F58" s="351">
        <v>52656</v>
      </c>
      <c r="G58" s="351">
        <v>55320</v>
      </c>
    </row>
    <row r="59" spans="1:7" ht="14.1" customHeight="1" x14ac:dyDescent="0.2">
      <c r="A59" s="349" t="s">
        <v>244</v>
      </c>
      <c r="B59" s="350" t="s">
        <v>192</v>
      </c>
      <c r="C59" s="351">
        <v>45444</v>
      </c>
      <c r="D59" s="351">
        <v>47724</v>
      </c>
      <c r="E59" s="351">
        <v>50148</v>
      </c>
      <c r="F59" s="351">
        <v>52656</v>
      </c>
      <c r="G59" s="351">
        <v>55320</v>
      </c>
    </row>
    <row r="60" spans="1:7" ht="14.1" customHeight="1" x14ac:dyDescent="0.2">
      <c r="A60" s="349" t="s">
        <v>245</v>
      </c>
      <c r="B60" s="350" t="s">
        <v>186</v>
      </c>
      <c r="C60" s="351">
        <v>54672</v>
      </c>
      <c r="D60" s="351">
        <v>57420</v>
      </c>
      <c r="E60" s="351">
        <v>60348</v>
      </c>
      <c r="F60" s="351">
        <v>63348</v>
      </c>
      <c r="G60" s="351">
        <v>66552</v>
      </c>
    </row>
    <row r="61" spans="1:7" ht="14.1" customHeight="1" x14ac:dyDescent="0.2">
      <c r="A61" s="349" t="s">
        <v>246</v>
      </c>
      <c r="B61" s="350" t="s">
        <v>188</v>
      </c>
      <c r="C61" s="351">
        <v>41460</v>
      </c>
      <c r="D61" s="351">
        <v>43548</v>
      </c>
      <c r="E61" s="351">
        <v>45744</v>
      </c>
      <c r="F61" s="351">
        <v>48036</v>
      </c>
      <c r="G61" s="351">
        <v>50472</v>
      </c>
    </row>
    <row r="62" spans="1:7" ht="14.1" customHeight="1" x14ac:dyDescent="0.2">
      <c r="A62" s="349" t="s">
        <v>247</v>
      </c>
      <c r="B62" s="350" t="s">
        <v>188</v>
      </c>
      <c r="C62" s="351">
        <v>41460</v>
      </c>
      <c r="D62" s="351">
        <v>43548</v>
      </c>
      <c r="E62" s="351">
        <v>45744</v>
      </c>
      <c r="F62" s="351">
        <v>48036</v>
      </c>
      <c r="G62" s="351">
        <v>50472</v>
      </c>
    </row>
    <row r="63" spans="1:7" ht="14.1" customHeight="1" x14ac:dyDescent="0.2">
      <c r="A63" s="349" t="s">
        <v>248</v>
      </c>
      <c r="B63" s="350" t="s">
        <v>188</v>
      </c>
      <c r="C63" s="351">
        <v>41460</v>
      </c>
      <c r="D63" s="351">
        <v>43548</v>
      </c>
      <c r="E63" s="351">
        <v>45744</v>
      </c>
      <c r="F63" s="351">
        <v>48036</v>
      </c>
      <c r="G63" s="351">
        <v>50472</v>
      </c>
    </row>
    <row r="64" spans="1:7" ht="14.1" customHeight="1" x14ac:dyDescent="0.2">
      <c r="A64" s="349" t="s">
        <v>249</v>
      </c>
      <c r="B64" s="350" t="s">
        <v>192</v>
      </c>
      <c r="C64" s="351">
        <v>45444</v>
      </c>
      <c r="D64" s="351">
        <v>47724</v>
      </c>
      <c r="E64" s="351">
        <v>50148</v>
      </c>
      <c r="F64" s="351">
        <v>52656</v>
      </c>
      <c r="G64" s="351">
        <v>55320</v>
      </c>
    </row>
    <row r="65" spans="1:7" ht="14.1" customHeight="1" x14ac:dyDescent="0.2">
      <c r="A65" s="349" t="s">
        <v>250</v>
      </c>
      <c r="B65" s="350" t="s">
        <v>192</v>
      </c>
      <c r="C65" s="351">
        <v>45444</v>
      </c>
      <c r="D65" s="351">
        <v>47724</v>
      </c>
      <c r="E65" s="351">
        <v>50148</v>
      </c>
      <c r="F65" s="351">
        <v>52656</v>
      </c>
      <c r="G65" s="351">
        <v>55320</v>
      </c>
    </row>
    <row r="66" spans="1:7" ht="14.1" customHeight="1" x14ac:dyDescent="0.2">
      <c r="A66" s="349" t="s">
        <v>251</v>
      </c>
      <c r="B66" s="350" t="s">
        <v>188</v>
      </c>
      <c r="C66" s="351">
        <v>41460</v>
      </c>
      <c r="D66" s="351">
        <v>43548</v>
      </c>
      <c r="E66" s="351">
        <v>45744</v>
      </c>
      <c r="F66" s="351">
        <v>48036</v>
      </c>
      <c r="G66" s="351">
        <v>50472</v>
      </c>
    </row>
    <row r="67" spans="1:7" ht="14.1" customHeight="1" x14ac:dyDescent="0.2">
      <c r="A67" s="349" t="s">
        <v>252</v>
      </c>
      <c r="B67" s="350" t="s">
        <v>192</v>
      </c>
      <c r="C67" s="351">
        <v>45444</v>
      </c>
      <c r="D67" s="351">
        <v>47724</v>
      </c>
      <c r="E67" s="351">
        <v>50148</v>
      </c>
      <c r="F67" s="351">
        <v>52656</v>
      </c>
      <c r="G67" s="351">
        <v>55320</v>
      </c>
    </row>
    <row r="68" spans="1:7" ht="14.1" customHeight="1" x14ac:dyDescent="0.2">
      <c r="A68" s="349" t="s">
        <v>253</v>
      </c>
      <c r="B68" s="350" t="s">
        <v>193</v>
      </c>
      <c r="C68" s="351">
        <v>50052</v>
      </c>
      <c r="D68" s="351">
        <v>52572</v>
      </c>
      <c r="E68" s="351">
        <v>55212</v>
      </c>
      <c r="F68" s="351">
        <v>57996</v>
      </c>
      <c r="G68" s="351">
        <v>60936</v>
      </c>
    </row>
    <row r="69" spans="1:7" ht="14.1" customHeight="1" x14ac:dyDescent="0.2">
      <c r="A69" s="349" t="s">
        <v>254</v>
      </c>
      <c r="B69" s="350" t="s">
        <v>192</v>
      </c>
      <c r="C69" s="351">
        <v>45444</v>
      </c>
      <c r="D69" s="351">
        <v>47724</v>
      </c>
      <c r="E69" s="351">
        <v>50148</v>
      </c>
      <c r="F69" s="351">
        <v>52656</v>
      </c>
      <c r="G69" s="351">
        <v>55320</v>
      </c>
    </row>
    <row r="70" spans="1:7" ht="14.1" customHeight="1" x14ac:dyDescent="0.2">
      <c r="A70" s="349" t="s">
        <v>255</v>
      </c>
      <c r="B70" s="350" t="s">
        <v>186</v>
      </c>
      <c r="C70" s="351">
        <v>54672</v>
      </c>
      <c r="D70" s="351">
        <v>57420</v>
      </c>
      <c r="E70" s="351">
        <v>60348</v>
      </c>
      <c r="F70" s="351">
        <v>63348</v>
      </c>
      <c r="G70" s="351">
        <v>66552</v>
      </c>
    </row>
    <row r="71" spans="1:7" ht="14.1" customHeight="1" x14ac:dyDescent="0.2">
      <c r="A71" s="349" t="s">
        <v>256</v>
      </c>
      <c r="B71" s="350" t="s">
        <v>203</v>
      </c>
      <c r="C71" s="351">
        <v>37896</v>
      </c>
      <c r="D71" s="351">
        <v>39828</v>
      </c>
      <c r="E71" s="351">
        <v>41844</v>
      </c>
      <c r="F71" s="351">
        <v>43944</v>
      </c>
      <c r="G71" s="351">
        <v>46152</v>
      </c>
    </row>
    <row r="72" spans="1:7" ht="14.1" customHeight="1" x14ac:dyDescent="0.2">
      <c r="A72" s="349" t="s">
        <v>854</v>
      </c>
      <c r="B72" s="350" t="s">
        <v>188</v>
      </c>
      <c r="C72" s="351">
        <v>41460</v>
      </c>
      <c r="D72" s="351">
        <v>43548</v>
      </c>
      <c r="E72" s="351">
        <v>45744</v>
      </c>
      <c r="F72" s="351">
        <v>48036</v>
      </c>
      <c r="G72" s="351">
        <v>50472</v>
      </c>
    </row>
    <row r="73" spans="1:7" ht="14.1" customHeight="1" x14ac:dyDescent="0.2">
      <c r="A73" s="349" t="s">
        <v>257</v>
      </c>
      <c r="B73" s="350" t="s">
        <v>210</v>
      </c>
      <c r="C73" s="351">
        <v>60288</v>
      </c>
      <c r="D73" s="351">
        <v>63276</v>
      </c>
      <c r="E73" s="351">
        <v>66492</v>
      </c>
      <c r="F73" s="351">
        <v>69828</v>
      </c>
      <c r="G73" s="351">
        <v>73356</v>
      </c>
    </row>
    <row r="74" spans="1:7" ht="14.1" customHeight="1" x14ac:dyDescent="0.2">
      <c r="A74" s="349" t="s">
        <v>855</v>
      </c>
      <c r="B74" s="350" t="s">
        <v>193</v>
      </c>
      <c r="C74" s="351">
        <v>50052</v>
      </c>
      <c r="D74" s="351">
        <v>52572</v>
      </c>
      <c r="E74" s="351">
        <v>55212</v>
      </c>
      <c r="F74" s="351">
        <v>57996</v>
      </c>
      <c r="G74" s="351">
        <v>60936</v>
      </c>
    </row>
    <row r="75" spans="1:7" ht="14.1" customHeight="1" x14ac:dyDescent="0.2">
      <c r="A75" s="349" t="s">
        <v>258</v>
      </c>
      <c r="B75" s="350" t="s">
        <v>259</v>
      </c>
      <c r="C75" s="351">
        <v>72264</v>
      </c>
      <c r="D75" s="351">
        <v>75912</v>
      </c>
      <c r="E75" s="351">
        <v>79728</v>
      </c>
      <c r="F75" s="351">
        <v>83760</v>
      </c>
      <c r="G75" s="351">
        <v>87972</v>
      </c>
    </row>
    <row r="76" spans="1:7" ht="14.1" customHeight="1" x14ac:dyDescent="0.2">
      <c r="A76" s="349" t="s">
        <v>856</v>
      </c>
      <c r="B76" s="350" t="s">
        <v>210</v>
      </c>
      <c r="C76" s="351">
        <v>60288</v>
      </c>
      <c r="D76" s="351">
        <v>63276</v>
      </c>
      <c r="E76" s="351">
        <v>66492</v>
      </c>
      <c r="F76" s="351">
        <v>69828</v>
      </c>
      <c r="G76" s="351">
        <v>73356</v>
      </c>
    </row>
    <row r="77" spans="1:7" ht="14.1" customHeight="1" x14ac:dyDescent="0.2">
      <c r="A77" s="349" t="s">
        <v>857</v>
      </c>
      <c r="B77" s="350" t="s">
        <v>210</v>
      </c>
      <c r="C77" s="351">
        <v>60288</v>
      </c>
      <c r="D77" s="351">
        <v>63276</v>
      </c>
      <c r="E77" s="351">
        <v>66492</v>
      </c>
      <c r="F77" s="351">
        <v>69828</v>
      </c>
      <c r="G77" s="351">
        <v>73356</v>
      </c>
    </row>
    <row r="78" spans="1:7" ht="14.1" customHeight="1" x14ac:dyDescent="0.2">
      <c r="A78" s="349" t="s">
        <v>858</v>
      </c>
      <c r="B78" s="350" t="s">
        <v>210</v>
      </c>
      <c r="C78" s="351">
        <v>60288</v>
      </c>
      <c r="D78" s="351">
        <v>63276</v>
      </c>
      <c r="E78" s="351">
        <v>66492</v>
      </c>
      <c r="F78" s="351">
        <v>69828</v>
      </c>
      <c r="G78" s="351">
        <v>73356</v>
      </c>
    </row>
    <row r="79" spans="1:7" ht="14.1" customHeight="1" x14ac:dyDescent="0.2">
      <c r="A79" s="349" t="s">
        <v>260</v>
      </c>
      <c r="B79" s="350" t="s">
        <v>210</v>
      </c>
      <c r="C79" s="351">
        <v>60288</v>
      </c>
      <c r="D79" s="351">
        <v>63276</v>
      </c>
      <c r="E79" s="351">
        <v>66492</v>
      </c>
      <c r="F79" s="351">
        <v>69828</v>
      </c>
      <c r="G79" s="351">
        <v>73356</v>
      </c>
    </row>
    <row r="80" spans="1:7" ht="14.1" customHeight="1" x14ac:dyDescent="0.2">
      <c r="A80" s="349" t="s">
        <v>261</v>
      </c>
      <c r="B80" s="350" t="s">
        <v>195</v>
      </c>
      <c r="C80" s="351">
        <v>57924</v>
      </c>
      <c r="D80" s="351">
        <v>60840</v>
      </c>
      <c r="E80" s="351">
        <v>63936</v>
      </c>
      <c r="F80" s="351">
        <v>67152</v>
      </c>
      <c r="G80" s="351">
        <v>70524</v>
      </c>
    </row>
    <row r="81" spans="1:7" ht="14.1" customHeight="1" x14ac:dyDescent="0.2">
      <c r="A81" s="349" t="s">
        <v>262</v>
      </c>
      <c r="B81" s="350" t="s">
        <v>186</v>
      </c>
      <c r="C81" s="351">
        <v>54672</v>
      </c>
      <c r="D81" s="351">
        <v>57420</v>
      </c>
      <c r="E81" s="351">
        <v>60348</v>
      </c>
      <c r="F81" s="351">
        <v>63348</v>
      </c>
      <c r="G81" s="351">
        <v>66552</v>
      </c>
    </row>
    <row r="82" spans="1:7" ht="14.1" customHeight="1" x14ac:dyDescent="0.2">
      <c r="A82" s="349" t="s">
        <v>263</v>
      </c>
      <c r="B82" s="350" t="s">
        <v>186</v>
      </c>
      <c r="C82" s="351">
        <v>54672</v>
      </c>
      <c r="D82" s="351">
        <v>57420</v>
      </c>
      <c r="E82" s="351">
        <v>60348</v>
      </c>
      <c r="F82" s="351">
        <v>63348</v>
      </c>
      <c r="G82" s="351">
        <v>66552</v>
      </c>
    </row>
    <row r="83" spans="1:7" ht="14.1" customHeight="1" x14ac:dyDescent="0.2">
      <c r="A83" s="349" t="s">
        <v>264</v>
      </c>
      <c r="B83" s="350" t="s">
        <v>186</v>
      </c>
      <c r="C83" s="351">
        <v>54672</v>
      </c>
      <c r="D83" s="351">
        <v>57420</v>
      </c>
      <c r="E83" s="351">
        <v>60348</v>
      </c>
      <c r="F83" s="351">
        <v>63348</v>
      </c>
      <c r="G83" s="351">
        <v>66552</v>
      </c>
    </row>
    <row r="84" spans="1:7" ht="14.1" customHeight="1" x14ac:dyDescent="0.2">
      <c r="A84" s="349" t="s">
        <v>265</v>
      </c>
      <c r="B84" s="350" t="s">
        <v>192</v>
      </c>
      <c r="C84" s="351">
        <v>45444</v>
      </c>
      <c r="D84" s="351">
        <v>47724</v>
      </c>
      <c r="E84" s="351">
        <v>50148</v>
      </c>
      <c r="F84" s="351">
        <v>52656</v>
      </c>
      <c r="G84" s="351">
        <v>55320</v>
      </c>
    </row>
    <row r="85" spans="1:7" ht="14.1" customHeight="1" x14ac:dyDescent="0.2">
      <c r="A85" s="349" t="s">
        <v>859</v>
      </c>
      <c r="B85" s="350" t="s">
        <v>222</v>
      </c>
      <c r="C85" s="351">
        <v>47832</v>
      </c>
      <c r="D85" s="351">
        <v>50268</v>
      </c>
      <c r="E85" s="351">
        <v>52812</v>
      </c>
      <c r="F85" s="351">
        <v>55440</v>
      </c>
      <c r="G85" s="351">
        <v>58248</v>
      </c>
    </row>
    <row r="86" spans="1:7" ht="14.1" customHeight="1" x14ac:dyDescent="0.2">
      <c r="A86" s="349" t="s">
        <v>266</v>
      </c>
      <c r="B86" s="350" t="s">
        <v>186</v>
      </c>
      <c r="C86" s="351">
        <v>54672</v>
      </c>
      <c r="D86" s="351">
        <v>57420</v>
      </c>
      <c r="E86" s="351">
        <v>60348</v>
      </c>
      <c r="F86" s="351">
        <v>63348</v>
      </c>
      <c r="G86" s="351">
        <v>66552</v>
      </c>
    </row>
    <row r="87" spans="1:7" ht="14.1" customHeight="1" x14ac:dyDescent="0.2">
      <c r="A87" s="349" t="s">
        <v>267</v>
      </c>
      <c r="B87" s="350" t="s">
        <v>210</v>
      </c>
      <c r="C87" s="351">
        <v>60288</v>
      </c>
      <c r="D87" s="351">
        <v>63276</v>
      </c>
      <c r="E87" s="351">
        <v>66492</v>
      </c>
      <c r="F87" s="351">
        <v>69828</v>
      </c>
      <c r="G87" s="351">
        <v>73356</v>
      </c>
    </row>
    <row r="88" spans="1:7" ht="14.1" customHeight="1" x14ac:dyDescent="0.2">
      <c r="A88" s="349" t="s">
        <v>1104</v>
      </c>
      <c r="B88" s="350" t="s">
        <v>210</v>
      </c>
      <c r="C88" s="351">
        <v>60288</v>
      </c>
      <c r="D88" s="351">
        <v>63276</v>
      </c>
      <c r="E88" s="351">
        <v>66492</v>
      </c>
      <c r="F88" s="351">
        <v>69828</v>
      </c>
      <c r="G88" s="351">
        <v>73356</v>
      </c>
    </row>
    <row r="89" spans="1:7" ht="14.1" customHeight="1" x14ac:dyDescent="0.2">
      <c r="A89" s="349" t="s">
        <v>268</v>
      </c>
      <c r="B89" s="350" t="s">
        <v>210</v>
      </c>
      <c r="C89" s="351">
        <v>60288</v>
      </c>
      <c r="D89" s="351">
        <v>63276</v>
      </c>
      <c r="E89" s="351">
        <v>66492</v>
      </c>
      <c r="F89" s="351">
        <v>69828</v>
      </c>
      <c r="G89" s="351">
        <v>73356</v>
      </c>
    </row>
    <row r="90" spans="1:7" ht="14.1" customHeight="1" x14ac:dyDescent="0.2">
      <c r="A90" s="349" t="s">
        <v>269</v>
      </c>
      <c r="B90" s="350" t="s">
        <v>191</v>
      </c>
      <c r="C90" s="351">
        <v>62964</v>
      </c>
      <c r="D90" s="351">
        <v>66132</v>
      </c>
      <c r="E90" s="351">
        <v>69492</v>
      </c>
      <c r="F90" s="351">
        <v>72948</v>
      </c>
      <c r="G90" s="351">
        <v>76656</v>
      </c>
    </row>
    <row r="91" spans="1:7" ht="14.1" customHeight="1" x14ac:dyDescent="0.2">
      <c r="A91" s="349" t="s">
        <v>270</v>
      </c>
      <c r="B91" s="350" t="s">
        <v>186</v>
      </c>
      <c r="C91" s="351">
        <v>54672</v>
      </c>
      <c r="D91" s="351">
        <v>57420</v>
      </c>
      <c r="E91" s="351">
        <v>60348</v>
      </c>
      <c r="F91" s="351">
        <v>63348</v>
      </c>
      <c r="G91" s="351">
        <v>66552</v>
      </c>
    </row>
    <row r="92" spans="1:7" ht="14.1" customHeight="1" x14ac:dyDescent="0.2">
      <c r="A92" s="349" t="s">
        <v>271</v>
      </c>
      <c r="B92" s="350" t="s">
        <v>188</v>
      </c>
      <c r="C92" s="351">
        <v>41460</v>
      </c>
      <c r="D92" s="351">
        <v>43548</v>
      </c>
      <c r="E92" s="351">
        <v>45744</v>
      </c>
      <c r="F92" s="351">
        <v>48036</v>
      </c>
      <c r="G92" s="351">
        <v>50472</v>
      </c>
    </row>
    <row r="93" spans="1:7" ht="14.1" customHeight="1" x14ac:dyDescent="0.2">
      <c r="A93" s="349" t="s">
        <v>272</v>
      </c>
      <c r="B93" s="350" t="s">
        <v>186</v>
      </c>
      <c r="C93" s="351">
        <v>54672</v>
      </c>
      <c r="D93" s="351">
        <v>57420</v>
      </c>
      <c r="E93" s="351">
        <v>60348</v>
      </c>
      <c r="F93" s="351">
        <v>63348</v>
      </c>
      <c r="G93" s="351">
        <v>66552</v>
      </c>
    </row>
    <row r="94" spans="1:7" ht="14.1" customHeight="1" x14ac:dyDescent="0.2">
      <c r="A94" s="349" t="s">
        <v>273</v>
      </c>
      <c r="B94" s="350" t="s">
        <v>186</v>
      </c>
      <c r="C94" s="351">
        <v>54672</v>
      </c>
      <c r="D94" s="351">
        <v>57420</v>
      </c>
      <c r="E94" s="351">
        <v>60348</v>
      </c>
      <c r="F94" s="351">
        <v>63348</v>
      </c>
      <c r="G94" s="351">
        <v>66552</v>
      </c>
    </row>
    <row r="95" spans="1:7" ht="14.1" customHeight="1" x14ac:dyDescent="0.2">
      <c r="A95" s="349" t="s">
        <v>860</v>
      </c>
      <c r="B95" s="350" t="s">
        <v>186</v>
      </c>
      <c r="C95" s="351">
        <v>54672</v>
      </c>
      <c r="D95" s="351">
        <v>57420</v>
      </c>
      <c r="E95" s="351">
        <v>60348</v>
      </c>
      <c r="F95" s="351">
        <v>63348</v>
      </c>
      <c r="G95" s="351">
        <v>66552</v>
      </c>
    </row>
    <row r="96" spans="1:7" ht="14.1" customHeight="1" x14ac:dyDescent="0.2">
      <c r="A96" s="349" t="s">
        <v>274</v>
      </c>
      <c r="B96" s="350" t="s">
        <v>186</v>
      </c>
      <c r="C96" s="351">
        <v>54672</v>
      </c>
      <c r="D96" s="351">
        <v>57420</v>
      </c>
      <c r="E96" s="351">
        <v>60348</v>
      </c>
      <c r="F96" s="351">
        <v>63348</v>
      </c>
      <c r="G96" s="351">
        <v>66552</v>
      </c>
    </row>
    <row r="97" spans="1:7" ht="14.1" customHeight="1" x14ac:dyDescent="0.2">
      <c r="A97" s="349" t="s">
        <v>275</v>
      </c>
      <c r="B97" s="350" t="s">
        <v>186</v>
      </c>
      <c r="C97" s="351">
        <v>54672</v>
      </c>
      <c r="D97" s="351">
        <v>57420</v>
      </c>
      <c r="E97" s="351">
        <v>60348</v>
      </c>
      <c r="F97" s="351">
        <v>63348</v>
      </c>
      <c r="G97" s="351">
        <v>66552</v>
      </c>
    </row>
    <row r="98" spans="1:7" ht="14.1" customHeight="1" x14ac:dyDescent="0.2">
      <c r="A98" s="349" t="s">
        <v>276</v>
      </c>
      <c r="B98" s="350" t="s">
        <v>193</v>
      </c>
      <c r="C98" s="351">
        <v>50052</v>
      </c>
      <c r="D98" s="351">
        <v>52572</v>
      </c>
      <c r="E98" s="351">
        <v>55212</v>
      </c>
      <c r="F98" s="351">
        <v>57996</v>
      </c>
      <c r="G98" s="351">
        <v>60936</v>
      </c>
    </row>
    <row r="99" spans="1:7" ht="14.1" customHeight="1" x14ac:dyDescent="0.2">
      <c r="A99" s="349" t="s">
        <v>861</v>
      </c>
      <c r="B99" s="350" t="s">
        <v>210</v>
      </c>
      <c r="C99" s="351">
        <v>60288</v>
      </c>
      <c r="D99" s="351">
        <v>63276</v>
      </c>
      <c r="E99" s="351">
        <v>66492</v>
      </c>
      <c r="F99" s="351">
        <v>69828</v>
      </c>
      <c r="G99" s="351">
        <v>73356</v>
      </c>
    </row>
    <row r="100" spans="1:7" ht="14.1" customHeight="1" x14ac:dyDescent="0.2">
      <c r="A100" s="349" t="s">
        <v>277</v>
      </c>
      <c r="B100" s="350" t="s">
        <v>222</v>
      </c>
      <c r="C100" s="351">
        <v>47832</v>
      </c>
      <c r="D100" s="351">
        <v>50268</v>
      </c>
      <c r="E100" s="351">
        <v>52812</v>
      </c>
      <c r="F100" s="351">
        <v>55440</v>
      </c>
      <c r="G100" s="351">
        <v>58248</v>
      </c>
    </row>
    <row r="101" spans="1:7" ht="14.1" customHeight="1" x14ac:dyDescent="0.2">
      <c r="A101" s="349" t="s">
        <v>862</v>
      </c>
      <c r="B101" s="350" t="s">
        <v>230</v>
      </c>
      <c r="C101" s="351">
        <v>68748</v>
      </c>
      <c r="D101" s="351">
        <v>72228</v>
      </c>
      <c r="E101" s="351">
        <v>75876</v>
      </c>
      <c r="F101" s="351">
        <v>79692</v>
      </c>
      <c r="G101" s="351">
        <v>83712</v>
      </c>
    </row>
    <row r="102" spans="1:7" ht="14.1" customHeight="1" x14ac:dyDescent="0.2">
      <c r="A102" s="349" t="s">
        <v>278</v>
      </c>
      <c r="B102" s="350" t="s">
        <v>188</v>
      </c>
      <c r="C102" s="351">
        <v>41460</v>
      </c>
      <c r="D102" s="351">
        <v>43548</v>
      </c>
      <c r="E102" s="351">
        <v>45744</v>
      </c>
      <c r="F102" s="351">
        <v>48036</v>
      </c>
      <c r="G102" s="351">
        <v>50472</v>
      </c>
    </row>
    <row r="103" spans="1:7" ht="14.1" customHeight="1" x14ac:dyDescent="0.2">
      <c r="A103" s="349" t="s">
        <v>279</v>
      </c>
      <c r="B103" s="350" t="s">
        <v>188</v>
      </c>
      <c r="C103" s="351">
        <v>41460</v>
      </c>
      <c r="D103" s="351">
        <v>43548</v>
      </c>
      <c r="E103" s="351">
        <v>45744</v>
      </c>
      <c r="F103" s="351">
        <v>48036</v>
      </c>
      <c r="G103" s="351">
        <v>50472</v>
      </c>
    </row>
    <row r="104" spans="1:7" ht="14.1" customHeight="1" x14ac:dyDescent="0.2">
      <c r="A104" s="349" t="s">
        <v>280</v>
      </c>
      <c r="B104" s="350" t="s">
        <v>217</v>
      </c>
      <c r="C104" s="351">
        <v>43344</v>
      </c>
      <c r="D104" s="351">
        <v>45576</v>
      </c>
      <c r="E104" s="351">
        <v>47820</v>
      </c>
      <c r="F104" s="351">
        <v>50244</v>
      </c>
      <c r="G104" s="351">
        <v>52776</v>
      </c>
    </row>
    <row r="105" spans="1:7" ht="14.1" customHeight="1" x14ac:dyDescent="0.2">
      <c r="A105" s="349" t="s">
        <v>281</v>
      </c>
      <c r="B105" s="350" t="s">
        <v>193</v>
      </c>
      <c r="C105" s="351">
        <v>50052</v>
      </c>
      <c r="D105" s="351">
        <v>52572</v>
      </c>
      <c r="E105" s="351">
        <v>55212</v>
      </c>
      <c r="F105" s="351">
        <v>57996</v>
      </c>
      <c r="G105" s="351">
        <v>60936</v>
      </c>
    </row>
    <row r="106" spans="1:7" ht="14.1" customHeight="1" x14ac:dyDescent="0.2">
      <c r="A106" s="349" t="s">
        <v>863</v>
      </c>
      <c r="B106" s="350" t="s">
        <v>210</v>
      </c>
      <c r="C106" s="351">
        <v>60288</v>
      </c>
      <c r="D106" s="351">
        <v>63276</v>
      </c>
      <c r="E106" s="351">
        <v>66492</v>
      </c>
      <c r="F106" s="351">
        <v>69828</v>
      </c>
      <c r="G106" s="351">
        <v>73356</v>
      </c>
    </row>
    <row r="107" spans="1:7" ht="14.1" customHeight="1" x14ac:dyDescent="0.2">
      <c r="A107" s="349" t="s">
        <v>864</v>
      </c>
      <c r="B107" s="350" t="s">
        <v>186</v>
      </c>
      <c r="C107" s="351">
        <v>54672</v>
      </c>
      <c r="D107" s="351">
        <v>57420</v>
      </c>
      <c r="E107" s="351">
        <v>60348</v>
      </c>
      <c r="F107" s="351">
        <v>63348</v>
      </c>
      <c r="G107" s="351">
        <v>66552</v>
      </c>
    </row>
    <row r="108" spans="1:7" ht="14.1" customHeight="1" x14ac:dyDescent="0.2">
      <c r="A108" s="349" t="s">
        <v>282</v>
      </c>
      <c r="B108" s="350" t="s">
        <v>186</v>
      </c>
      <c r="C108" s="351">
        <v>54672</v>
      </c>
      <c r="D108" s="351">
        <v>57420</v>
      </c>
      <c r="E108" s="351">
        <v>60348</v>
      </c>
      <c r="F108" s="351">
        <v>63348</v>
      </c>
      <c r="G108" s="351">
        <v>66552</v>
      </c>
    </row>
    <row r="109" spans="1:7" ht="14.1" customHeight="1" x14ac:dyDescent="0.2">
      <c r="A109" s="349" t="s">
        <v>283</v>
      </c>
      <c r="B109" s="350" t="s">
        <v>193</v>
      </c>
      <c r="C109" s="351">
        <v>50052</v>
      </c>
      <c r="D109" s="351">
        <v>52572</v>
      </c>
      <c r="E109" s="351">
        <v>55212</v>
      </c>
      <c r="F109" s="351">
        <v>57996</v>
      </c>
      <c r="G109" s="351">
        <v>60936</v>
      </c>
    </row>
    <row r="110" spans="1:7" ht="14.1" customHeight="1" x14ac:dyDescent="0.2">
      <c r="A110" s="349" t="s">
        <v>284</v>
      </c>
      <c r="B110" s="350" t="s">
        <v>230</v>
      </c>
      <c r="C110" s="351">
        <v>68748</v>
      </c>
      <c r="D110" s="351">
        <v>72228</v>
      </c>
      <c r="E110" s="351">
        <v>75876</v>
      </c>
      <c r="F110" s="351">
        <v>79692</v>
      </c>
      <c r="G110" s="351">
        <v>83712</v>
      </c>
    </row>
    <row r="111" spans="1:7" ht="14.1" customHeight="1" x14ac:dyDescent="0.2">
      <c r="A111" s="349" t="s">
        <v>285</v>
      </c>
      <c r="B111" s="350" t="s">
        <v>212</v>
      </c>
      <c r="C111" s="351">
        <v>76092</v>
      </c>
      <c r="D111" s="351">
        <v>79956</v>
      </c>
      <c r="E111" s="351">
        <v>83964</v>
      </c>
      <c r="F111" s="351">
        <v>88188</v>
      </c>
      <c r="G111" s="351">
        <v>92616</v>
      </c>
    </row>
    <row r="112" spans="1:7" ht="14.1" customHeight="1" x14ac:dyDescent="0.2">
      <c r="A112" s="349" t="s">
        <v>286</v>
      </c>
      <c r="B112" s="350" t="s">
        <v>236</v>
      </c>
      <c r="C112" s="351">
        <v>52248</v>
      </c>
      <c r="D112" s="351">
        <v>54888</v>
      </c>
      <c r="E112" s="351">
        <v>57660</v>
      </c>
      <c r="F112" s="351">
        <v>60540</v>
      </c>
      <c r="G112" s="351">
        <v>63624</v>
      </c>
    </row>
    <row r="113" spans="1:7" ht="14.1" customHeight="1" x14ac:dyDescent="0.2">
      <c r="A113" s="349" t="s">
        <v>287</v>
      </c>
      <c r="B113" s="350" t="s">
        <v>188</v>
      </c>
      <c r="C113" s="351">
        <v>41460</v>
      </c>
      <c r="D113" s="351">
        <v>43548</v>
      </c>
      <c r="E113" s="351">
        <v>45744</v>
      </c>
      <c r="F113" s="351">
        <v>48036</v>
      </c>
      <c r="G113" s="351">
        <v>50472</v>
      </c>
    </row>
    <row r="114" spans="1:7" ht="14.1" customHeight="1" x14ac:dyDescent="0.2">
      <c r="A114" s="349" t="s">
        <v>288</v>
      </c>
      <c r="B114" s="350" t="s">
        <v>203</v>
      </c>
      <c r="C114" s="351">
        <v>37896</v>
      </c>
      <c r="D114" s="351">
        <v>39828</v>
      </c>
      <c r="E114" s="351">
        <v>41844</v>
      </c>
      <c r="F114" s="351">
        <v>43944</v>
      </c>
      <c r="G114" s="351">
        <v>46152</v>
      </c>
    </row>
    <row r="115" spans="1:7" ht="14.1" customHeight="1" x14ac:dyDescent="0.2">
      <c r="A115" s="349" t="s">
        <v>289</v>
      </c>
      <c r="B115" s="350" t="s">
        <v>186</v>
      </c>
      <c r="C115" s="351">
        <v>54672</v>
      </c>
      <c r="D115" s="351">
        <v>57420</v>
      </c>
      <c r="E115" s="351">
        <v>60348</v>
      </c>
      <c r="F115" s="351">
        <v>63348</v>
      </c>
      <c r="G115" s="351">
        <v>66552</v>
      </c>
    </row>
    <row r="116" spans="1:7" ht="14.1" customHeight="1" x14ac:dyDescent="0.2">
      <c r="A116" s="349" t="s">
        <v>290</v>
      </c>
      <c r="B116" s="350" t="s">
        <v>193</v>
      </c>
      <c r="C116" s="351">
        <v>50052</v>
      </c>
      <c r="D116" s="351">
        <v>52572</v>
      </c>
      <c r="E116" s="351">
        <v>55212</v>
      </c>
      <c r="F116" s="351">
        <v>57996</v>
      </c>
      <c r="G116" s="351">
        <v>60936</v>
      </c>
    </row>
    <row r="117" spans="1:7" ht="14.1" customHeight="1" x14ac:dyDescent="0.2">
      <c r="A117" s="349" t="s">
        <v>865</v>
      </c>
      <c r="B117" s="350" t="s">
        <v>210</v>
      </c>
      <c r="C117" s="351">
        <v>60288</v>
      </c>
      <c r="D117" s="351">
        <v>63276</v>
      </c>
      <c r="E117" s="351">
        <v>66492</v>
      </c>
      <c r="F117" s="351">
        <v>69828</v>
      </c>
      <c r="G117" s="351">
        <v>73356</v>
      </c>
    </row>
    <row r="118" spans="1:7" ht="14.1" customHeight="1" x14ac:dyDescent="0.2">
      <c r="A118" s="349" t="s">
        <v>866</v>
      </c>
      <c r="B118" s="350" t="s">
        <v>222</v>
      </c>
      <c r="C118" s="351">
        <v>47832</v>
      </c>
      <c r="D118" s="351">
        <v>50268</v>
      </c>
      <c r="E118" s="351">
        <v>52812</v>
      </c>
      <c r="F118" s="351">
        <v>55440</v>
      </c>
      <c r="G118" s="351">
        <v>58248</v>
      </c>
    </row>
    <row r="119" spans="1:7" ht="14.1" customHeight="1" x14ac:dyDescent="0.2">
      <c r="A119" s="349" t="s">
        <v>291</v>
      </c>
      <c r="B119" s="350" t="s">
        <v>203</v>
      </c>
      <c r="C119" s="351">
        <v>37896</v>
      </c>
      <c r="D119" s="351">
        <v>39828</v>
      </c>
      <c r="E119" s="351">
        <v>41844</v>
      </c>
      <c r="F119" s="351">
        <v>43944</v>
      </c>
      <c r="G119" s="351">
        <v>46152</v>
      </c>
    </row>
    <row r="120" spans="1:7" ht="14.1" customHeight="1" x14ac:dyDescent="0.2">
      <c r="A120" s="349" t="s">
        <v>292</v>
      </c>
      <c r="B120" s="350" t="s">
        <v>197</v>
      </c>
      <c r="C120" s="351">
        <v>65604</v>
      </c>
      <c r="D120" s="351">
        <v>68928</v>
      </c>
      <c r="E120" s="351">
        <v>72372</v>
      </c>
      <c r="F120" s="351">
        <v>76032</v>
      </c>
      <c r="G120" s="351">
        <v>79896</v>
      </c>
    </row>
    <row r="121" spans="1:7" ht="14.1" customHeight="1" x14ac:dyDescent="0.2">
      <c r="A121" s="349" t="s">
        <v>293</v>
      </c>
      <c r="B121" s="350" t="s">
        <v>197</v>
      </c>
      <c r="C121" s="351">
        <v>65604</v>
      </c>
      <c r="D121" s="351">
        <v>68928</v>
      </c>
      <c r="E121" s="351">
        <v>72372</v>
      </c>
      <c r="F121" s="351">
        <v>76032</v>
      </c>
      <c r="G121" s="351">
        <v>79896</v>
      </c>
    </row>
    <row r="122" spans="1:7" ht="14.1" customHeight="1" x14ac:dyDescent="0.2">
      <c r="A122" s="349" t="s">
        <v>294</v>
      </c>
      <c r="B122" s="350" t="s">
        <v>186</v>
      </c>
      <c r="C122" s="351">
        <v>54672</v>
      </c>
      <c r="D122" s="351">
        <v>57420</v>
      </c>
      <c r="E122" s="351">
        <v>60348</v>
      </c>
      <c r="F122" s="351">
        <v>63348</v>
      </c>
      <c r="G122" s="351">
        <v>66552</v>
      </c>
    </row>
    <row r="123" spans="1:7" ht="14.1" customHeight="1" x14ac:dyDescent="0.2">
      <c r="A123" s="349" t="s">
        <v>295</v>
      </c>
      <c r="B123" s="350" t="s">
        <v>186</v>
      </c>
      <c r="C123" s="351">
        <v>54672</v>
      </c>
      <c r="D123" s="351">
        <v>57420</v>
      </c>
      <c r="E123" s="351">
        <v>60348</v>
      </c>
      <c r="F123" s="351">
        <v>63348</v>
      </c>
      <c r="G123" s="351">
        <v>66552</v>
      </c>
    </row>
    <row r="124" spans="1:7" ht="14.1" customHeight="1" x14ac:dyDescent="0.2">
      <c r="A124" s="349" t="s">
        <v>296</v>
      </c>
      <c r="B124" s="350" t="s">
        <v>297</v>
      </c>
      <c r="C124" s="351">
        <v>39456</v>
      </c>
      <c r="D124" s="351">
        <v>41424</v>
      </c>
      <c r="E124" s="351">
        <v>43524</v>
      </c>
      <c r="F124" s="351">
        <v>45732</v>
      </c>
      <c r="G124" s="351">
        <v>48000</v>
      </c>
    </row>
    <row r="125" spans="1:7" ht="14.1" customHeight="1" x14ac:dyDescent="0.2">
      <c r="A125" s="349" t="s">
        <v>298</v>
      </c>
      <c r="B125" s="350" t="s">
        <v>186</v>
      </c>
      <c r="C125" s="351">
        <v>54672</v>
      </c>
      <c r="D125" s="351">
        <v>57420</v>
      </c>
      <c r="E125" s="351">
        <v>60348</v>
      </c>
      <c r="F125" s="351">
        <v>63348</v>
      </c>
      <c r="G125" s="351">
        <v>66552</v>
      </c>
    </row>
    <row r="126" spans="1:7" ht="14.1" customHeight="1" x14ac:dyDescent="0.2">
      <c r="A126" s="349" t="s">
        <v>299</v>
      </c>
      <c r="B126" s="350" t="s">
        <v>191</v>
      </c>
      <c r="C126" s="351">
        <v>62964</v>
      </c>
      <c r="D126" s="351">
        <v>66132</v>
      </c>
      <c r="E126" s="351">
        <v>69492</v>
      </c>
      <c r="F126" s="351">
        <v>72948</v>
      </c>
      <c r="G126" s="351">
        <v>76656</v>
      </c>
    </row>
    <row r="127" spans="1:7" ht="14.1" customHeight="1" x14ac:dyDescent="0.2">
      <c r="A127" s="349" t="s">
        <v>300</v>
      </c>
      <c r="B127" s="350" t="s">
        <v>210</v>
      </c>
      <c r="C127" s="351">
        <v>60288</v>
      </c>
      <c r="D127" s="351">
        <v>63276</v>
      </c>
      <c r="E127" s="351">
        <v>66492</v>
      </c>
      <c r="F127" s="351">
        <v>69828</v>
      </c>
      <c r="G127" s="351">
        <v>73356</v>
      </c>
    </row>
    <row r="128" spans="1:7" ht="14.1" customHeight="1" x14ac:dyDescent="0.2">
      <c r="A128" s="349" t="s">
        <v>301</v>
      </c>
      <c r="B128" s="350" t="s">
        <v>259</v>
      </c>
      <c r="C128" s="351">
        <v>72264</v>
      </c>
      <c r="D128" s="351">
        <v>75912</v>
      </c>
      <c r="E128" s="351">
        <v>79728</v>
      </c>
      <c r="F128" s="351">
        <v>83760</v>
      </c>
      <c r="G128" s="351">
        <v>87972</v>
      </c>
    </row>
    <row r="129" spans="1:7" ht="14.1" customHeight="1" x14ac:dyDescent="0.2">
      <c r="A129" s="349" t="s">
        <v>302</v>
      </c>
      <c r="B129" s="350" t="s">
        <v>210</v>
      </c>
      <c r="C129" s="351">
        <v>60288</v>
      </c>
      <c r="D129" s="351">
        <v>63276</v>
      </c>
      <c r="E129" s="351">
        <v>66492</v>
      </c>
      <c r="F129" s="351">
        <v>69828</v>
      </c>
      <c r="G129" s="351">
        <v>73356</v>
      </c>
    </row>
    <row r="130" spans="1:7" ht="14.1" customHeight="1" x14ac:dyDescent="0.2">
      <c r="A130" s="349" t="s">
        <v>303</v>
      </c>
      <c r="B130" s="350" t="s">
        <v>191</v>
      </c>
      <c r="C130" s="351">
        <v>62964</v>
      </c>
      <c r="D130" s="351">
        <v>66132</v>
      </c>
      <c r="E130" s="351">
        <v>69492</v>
      </c>
      <c r="F130" s="351">
        <v>72948</v>
      </c>
      <c r="G130" s="351">
        <v>76656</v>
      </c>
    </row>
    <row r="131" spans="1:7" ht="14.1" customHeight="1" x14ac:dyDescent="0.2">
      <c r="A131" s="349" t="s">
        <v>304</v>
      </c>
      <c r="B131" s="350" t="s">
        <v>210</v>
      </c>
      <c r="C131" s="351">
        <v>60288</v>
      </c>
      <c r="D131" s="351">
        <v>63276</v>
      </c>
      <c r="E131" s="351">
        <v>66492</v>
      </c>
      <c r="F131" s="351">
        <v>69828</v>
      </c>
      <c r="G131" s="351">
        <v>73356</v>
      </c>
    </row>
    <row r="132" spans="1:7" ht="14.1" customHeight="1" x14ac:dyDescent="0.2">
      <c r="A132" s="349" t="s">
        <v>305</v>
      </c>
      <c r="B132" s="350" t="s">
        <v>210</v>
      </c>
      <c r="C132" s="351">
        <v>60288</v>
      </c>
      <c r="D132" s="351">
        <v>63276</v>
      </c>
      <c r="E132" s="351">
        <v>66492</v>
      </c>
      <c r="F132" s="351">
        <v>69828</v>
      </c>
      <c r="G132" s="351">
        <v>73356</v>
      </c>
    </row>
    <row r="133" spans="1:7" ht="14.1" customHeight="1" x14ac:dyDescent="0.2">
      <c r="A133" s="349" t="s">
        <v>306</v>
      </c>
      <c r="B133" s="350" t="s">
        <v>186</v>
      </c>
      <c r="C133" s="351">
        <v>54672</v>
      </c>
      <c r="D133" s="351">
        <v>57420</v>
      </c>
      <c r="E133" s="351">
        <v>60348</v>
      </c>
      <c r="F133" s="351">
        <v>63348</v>
      </c>
      <c r="G133" s="351">
        <v>66552</v>
      </c>
    </row>
    <row r="134" spans="1:7" ht="14.1" customHeight="1" x14ac:dyDescent="0.2">
      <c r="A134" s="349" t="s">
        <v>307</v>
      </c>
      <c r="B134" s="350" t="s">
        <v>210</v>
      </c>
      <c r="C134" s="351">
        <v>60288</v>
      </c>
      <c r="D134" s="351">
        <v>63276</v>
      </c>
      <c r="E134" s="351">
        <v>66492</v>
      </c>
      <c r="F134" s="351">
        <v>69828</v>
      </c>
      <c r="G134" s="351">
        <v>73356</v>
      </c>
    </row>
    <row r="135" spans="1:7" ht="14.1" customHeight="1" x14ac:dyDescent="0.2">
      <c r="A135" s="349" t="s">
        <v>308</v>
      </c>
      <c r="B135" s="350" t="s">
        <v>210</v>
      </c>
      <c r="C135" s="351">
        <v>60288</v>
      </c>
      <c r="D135" s="351">
        <v>63276</v>
      </c>
      <c r="E135" s="351">
        <v>66492</v>
      </c>
      <c r="F135" s="351">
        <v>69828</v>
      </c>
      <c r="G135" s="351">
        <v>73356</v>
      </c>
    </row>
    <row r="136" spans="1:7" ht="14.1" customHeight="1" x14ac:dyDescent="0.2">
      <c r="A136" s="349" t="s">
        <v>309</v>
      </c>
      <c r="B136" s="350" t="s">
        <v>186</v>
      </c>
      <c r="C136" s="351">
        <v>54672</v>
      </c>
      <c r="D136" s="351">
        <v>57420</v>
      </c>
      <c r="E136" s="351">
        <v>60348</v>
      </c>
      <c r="F136" s="351">
        <v>63348</v>
      </c>
      <c r="G136" s="351">
        <v>66552</v>
      </c>
    </row>
    <row r="137" spans="1:7" ht="14.1" customHeight="1" x14ac:dyDescent="0.2">
      <c r="A137" s="349" t="s">
        <v>310</v>
      </c>
      <c r="B137" s="350" t="s">
        <v>195</v>
      </c>
      <c r="C137" s="351">
        <v>57924</v>
      </c>
      <c r="D137" s="351">
        <v>60840</v>
      </c>
      <c r="E137" s="351">
        <v>63936</v>
      </c>
      <c r="F137" s="351">
        <v>67152</v>
      </c>
      <c r="G137" s="351">
        <v>70524</v>
      </c>
    </row>
    <row r="138" spans="1:7" ht="14.1" customHeight="1" x14ac:dyDescent="0.2">
      <c r="A138" s="349" t="s">
        <v>311</v>
      </c>
      <c r="B138" s="350" t="s">
        <v>186</v>
      </c>
      <c r="C138" s="351">
        <v>54672</v>
      </c>
      <c r="D138" s="351">
        <v>57420</v>
      </c>
      <c r="E138" s="351">
        <v>60348</v>
      </c>
      <c r="F138" s="351">
        <v>63348</v>
      </c>
      <c r="G138" s="351">
        <v>66552</v>
      </c>
    </row>
    <row r="139" spans="1:7" ht="14.1" customHeight="1" x14ac:dyDescent="0.2">
      <c r="A139" s="349" t="s">
        <v>312</v>
      </c>
      <c r="B139" s="350" t="s">
        <v>193</v>
      </c>
      <c r="C139" s="351">
        <v>50052</v>
      </c>
      <c r="D139" s="351">
        <v>52572</v>
      </c>
      <c r="E139" s="351">
        <v>55212</v>
      </c>
      <c r="F139" s="351">
        <v>57996</v>
      </c>
      <c r="G139" s="351">
        <v>60936</v>
      </c>
    </row>
    <row r="140" spans="1:7" ht="14.1" customHeight="1" x14ac:dyDescent="0.2">
      <c r="A140" s="349" t="s">
        <v>313</v>
      </c>
      <c r="B140" s="350" t="s">
        <v>186</v>
      </c>
      <c r="C140" s="351">
        <v>54672</v>
      </c>
      <c r="D140" s="351">
        <v>57420</v>
      </c>
      <c r="E140" s="351">
        <v>60348</v>
      </c>
      <c r="F140" s="351">
        <v>63348</v>
      </c>
      <c r="G140" s="351">
        <v>66552</v>
      </c>
    </row>
    <row r="141" spans="1:7" ht="14.1" customHeight="1" x14ac:dyDescent="0.2">
      <c r="A141" s="349" t="s">
        <v>314</v>
      </c>
      <c r="B141" s="350" t="s">
        <v>197</v>
      </c>
      <c r="C141" s="351">
        <v>65604</v>
      </c>
      <c r="D141" s="351">
        <v>68928</v>
      </c>
      <c r="E141" s="351">
        <v>72372</v>
      </c>
      <c r="F141" s="351">
        <v>76032</v>
      </c>
      <c r="G141" s="351">
        <v>79896</v>
      </c>
    </row>
    <row r="142" spans="1:7" ht="14.1" customHeight="1" x14ac:dyDescent="0.2">
      <c r="A142" s="349" t="s">
        <v>315</v>
      </c>
      <c r="B142" s="350" t="s">
        <v>316</v>
      </c>
      <c r="C142" s="351">
        <v>35412</v>
      </c>
      <c r="D142" s="351">
        <v>37200</v>
      </c>
      <c r="E142" s="351">
        <v>39096</v>
      </c>
      <c r="F142" s="351">
        <v>41052</v>
      </c>
      <c r="G142" s="351">
        <v>43140</v>
      </c>
    </row>
    <row r="143" spans="1:7" ht="14.1" customHeight="1" x14ac:dyDescent="0.2">
      <c r="A143" s="349" t="s">
        <v>317</v>
      </c>
      <c r="B143" s="350" t="s">
        <v>193</v>
      </c>
      <c r="C143" s="351">
        <v>50052</v>
      </c>
      <c r="D143" s="351">
        <v>52572</v>
      </c>
      <c r="E143" s="351">
        <v>55212</v>
      </c>
      <c r="F143" s="351">
        <v>57996</v>
      </c>
      <c r="G143" s="351">
        <v>60936</v>
      </c>
    </row>
    <row r="144" spans="1:7" ht="14.1" customHeight="1" x14ac:dyDescent="0.2">
      <c r="A144" s="349" t="s">
        <v>318</v>
      </c>
      <c r="B144" s="350" t="s">
        <v>188</v>
      </c>
      <c r="C144" s="351">
        <v>41460</v>
      </c>
      <c r="D144" s="351">
        <v>43548</v>
      </c>
      <c r="E144" s="351">
        <v>45744</v>
      </c>
      <c r="F144" s="351">
        <v>48036</v>
      </c>
      <c r="G144" s="351">
        <v>50472</v>
      </c>
    </row>
    <row r="145" spans="1:7" ht="14.1" customHeight="1" x14ac:dyDescent="0.2">
      <c r="A145" s="349" t="s">
        <v>319</v>
      </c>
      <c r="B145" s="350" t="s">
        <v>192</v>
      </c>
      <c r="C145" s="351">
        <v>45444</v>
      </c>
      <c r="D145" s="351">
        <v>47724</v>
      </c>
      <c r="E145" s="351">
        <v>50148</v>
      </c>
      <c r="F145" s="351">
        <v>52656</v>
      </c>
      <c r="G145" s="351">
        <v>55320</v>
      </c>
    </row>
    <row r="146" spans="1:7" ht="14.1" customHeight="1" x14ac:dyDescent="0.2">
      <c r="A146" s="349" t="s">
        <v>867</v>
      </c>
      <c r="B146" s="350" t="s">
        <v>230</v>
      </c>
      <c r="C146" s="351">
        <v>68748</v>
      </c>
      <c r="D146" s="351">
        <v>72228</v>
      </c>
      <c r="E146" s="351">
        <v>75876</v>
      </c>
      <c r="F146" s="351">
        <v>79692</v>
      </c>
      <c r="G146" s="351">
        <v>83712</v>
      </c>
    </row>
    <row r="147" spans="1:7" ht="14.1" customHeight="1" x14ac:dyDescent="0.2">
      <c r="A147" s="349" t="s">
        <v>320</v>
      </c>
      <c r="B147" s="350" t="s">
        <v>193</v>
      </c>
      <c r="C147" s="351">
        <v>50052</v>
      </c>
      <c r="D147" s="351">
        <v>52572</v>
      </c>
      <c r="E147" s="351">
        <v>55212</v>
      </c>
      <c r="F147" s="351">
        <v>57996</v>
      </c>
      <c r="G147" s="351">
        <v>60936</v>
      </c>
    </row>
    <row r="148" spans="1:7" ht="14.1" customHeight="1" x14ac:dyDescent="0.2">
      <c r="A148" s="349" t="s">
        <v>321</v>
      </c>
      <c r="B148" s="350" t="s">
        <v>191</v>
      </c>
      <c r="C148" s="351">
        <v>62964</v>
      </c>
      <c r="D148" s="351">
        <v>66132</v>
      </c>
      <c r="E148" s="351">
        <v>69492</v>
      </c>
      <c r="F148" s="351">
        <v>72948</v>
      </c>
      <c r="G148" s="351">
        <v>76656</v>
      </c>
    </row>
    <row r="149" spans="1:7" ht="14.1" customHeight="1" x14ac:dyDescent="0.2">
      <c r="A149" s="349" t="s">
        <v>322</v>
      </c>
      <c r="B149" s="350" t="s">
        <v>230</v>
      </c>
      <c r="C149" s="351">
        <v>68748</v>
      </c>
      <c r="D149" s="351">
        <v>72228</v>
      </c>
      <c r="E149" s="351">
        <v>75876</v>
      </c>
      <c r="F149" s="351">
        <v>79692</v>
      </c>
      <c r="G149" s="351">
        <v>83712</v>
      </c>
    </row>
    <row r="150" spans="1:7" ht="14.1" customHeight="1" x14ac:dyDescent="0.2">
      <c r="A150" s="349" t="s">
        <v>323</v>
      </c>
      <c r="B150" s="350" t="s">
        <v>193</v>
      </c>
      <c r="C150" s="351">
        <v>50052</v>
      </c>
      <c r="D150" s="351">
        <v>52572</v>
      </c>
      <c r="E150" s="351">
        <v>55212</v>
      </c>
      <c r="F150" s="351">
        <v>57996</v>
      </c>
      <c r="G150" s="351">
        <v>60936</v>
      </c>
    </row>
    <row r="151" spans="1:7" ht="14.1" customHeight="1" x14ac:dyDescent="0.2">
      <c r="A151" s="349" t="s">
        <v>324</v>
      </c>
      <c r="B151" s="350" t="s">
        <v>236</v>
      </c>
      <c r="C151" s="351">
        <v>52248</v>
      </c>
      <c r="D151" s="351">
        <v>54888</v>
      </c>
      <c r="E151" s="351">
        <v>57660</v>
      </c>
      <c r="F151" s="351">
        <v>60540</v>
      </c>
      <c r="G151" s="351">
        <v>63624</v>
      </c>
    </row>
    <row r="152" spans="1:7" ht="14.1" customHeight="1" x14ac:dyDescent="0.2">
      <c r="A152" s="349" t="s">
        <v>325</v>
      </c>
      <c r="B152" s="350" t="s">
        <v>197</v>
      </c>
      <c r="C152" s="351">
        <v>65604</v>
      </c>
      <c r="D152" s="351">
        <v>68928</v>
      </c>
      <c r="E152" s="351">
        <v>72372</v>
      </c>
      <c r="F152" s="351">
        <v>76032</v>
      </c>
      <c r="G152" s="351">
        <v>79896</v>
      </c>
    </row>
    <row r="153" spans="1:7" ht="14.1" customHeight="1" x14ac:dyDescent="0.2">
      <c r="A153" s="349" t="s">
        <v>326</v>
      </c>
      <c r="B153" s="350" t="s">
        <v>192</v>
      </c>
      <c r="C153" s="351">
        <v>45444</v>
      </c>
      <c r="D153" s="351">
        <v>47724</v>
      </c>
      <c r="E153" s="351">
        <v>50148</v>
      </c>
      <c r="F153" s="351">
        <v>52656</v>
      </c>
      <c r="G153" s="351">
        <v>55320</v>
      </c>
    </row>
    <row r="154" spans="1:7" ht="14.1" customHeight="1" x14ac:dyDescent="0.2">
      <c r="A154" s="349" t="s">
        <v>327</v>
      </c>
      <c r="B154" s="350" t="s">
        <v>192</v>
      </c>
      <c r="C154" s="351">
        <v>45444</v>
      </c>
      <c r="D154" s="351">
        <v>47724</v>
      </c>
      <c r="E154" s="351">
        <v>50148</v>
      </c>
      <c r="F154" s="351">
        <v>52656</v>
      </c>
      <c r="G154" s="351">
        <v>55320</v>
      </c>
    </row>
    <row r="155" spans="1:7" ht="14.1" customHeight="1" x14ac:dyDescent="0.2">
      <c r="A155" s="349" t="s">
        <v>328</v>
      </c>
      <c r="B155" s="350" t="s">
        <v>195</v>
      </c>
      <c r="C155" s="351">
        <v>57924</v>
      </c>
      <c r="D155" s="351">
        <v>60840</v>
      </c>
      <c r="E155" s="351">
        <v>63936</v>
      </c>
      <c r="F155" s="351">
        <v>67152</v>
      </c>
      <c r="G155" s="351">
        <v>70524</v>
      </c>
    </row>
    <row r="156" spans="1:7" ht="14.1" customHeight="1" x14ac:dyDescent="0.2">
      <c r="A156" s="349" t="s">
        <v>329</v>
      </c>
      <c r="B156" s="350" t="s">
        <v>186</v>
      </c>
      <c r="C156" s="351">
        <v>54672</v>
      </c>
      <c r="D156" s="351">
        <v>57420</v>
      </c>
      <c r="E156" s="351">
        <v>60348</v>
      </c>
      <c r="F156" s="351">
        <v>63348</v>
      </c>
      <c r="G156" s="351">
        <v>66552</v>
      </c>
    </row>
    <row r="157" spans="1:7" ht="14.1" customHeight="1" x14ac:dyDescent="0.2">
      <c r="A157" s="349" t="s">
        <v>330</v>
      </c>
      <c r="B157" s="350" t="s">
        <v>195</v>
      </c>
      <c r="C157" s="351">
        <v>57924</v>
      </c>
      <c r="D157" s="351">
        <v>60840</v>
      </c>
      <c r="E157" s="351">
        <v>63936</v>
      </c>
      <c r="F157" s="351">
        <v>67152</v>
      </c>
      <c r="G157" s="351">
        <v>70524</v>
      </c>
    </row>
    <row r="158" spans="1:7" ht="14.1" customHeight="1" x14ac:dyDescent="0.2">
      <c r="A158" s="349" t="s">
        <v>331</v>
      </c>
      <c r="B158" s="350" t="s">
        <v>195</v>
      </c>
      <c r="C158" s="351">
        <v>57924</v>
      </c>
      <c r="D158" s="351">
        <v>60840</v>
      </c>
      <c r="E158" s="351">
        <v>63936</v>
      </c>
      <c r="F158" s="351">
        <v>67152</v>
      </c>
      <c r="G158" s="351">
        <v>70524</v>
      </c>
    </row>
    <row r="159" spans="1:7" ht="14.1" customHeight="1" x14ac:dyDescent="0.2">
      <c r="A159" s="349" t="s">
        <v>332</v>
      </c>
      <c r="B159" s="350" t="s">
        <v>195</v>
      </c>
      <c r="C159" s="351">
        <v>57924</v>
      </c>
      <c r="D159" s="351">
        <v>60840</v>
      </c>
      <c r="E159" s="351">
        <v>63936</v>
      </c>
      <c r="F159" s="351">
        <v>67152</v>
      </c>
      <c r="G159" s="351">
        <v>70524</v>
      </c>
    </row>
    <row r="160" spans="1:7" ht="14.1" customHeight="1" x14ac:dyDescent="0.2">
      <c r="A160" s="349" t="s">
        <v>333</v>
      </c>
      <c r="B160" s="350" t="s">
        <v>195</v>
      </c>
      <c r="C160" s="351">
        <v>57924</v>
      </c>
      <c r="D160" s="351">
        <v>60840</v>
      </c>
      <c r="E160" s="351">
        <v>63936</v>
      </c>
      <c r="F160" s="351">
        <v>67152</v>
      </c>
      <c r="G160" s="351">
        <v>70524</v>
      </c>
    </row>
    <row r="161" spans="1:7" ht="14.1" customHeight="1" x14ac:dyDescent="0.2">
      <c r="A161" s="349" t="s">
        <v>334</v>
      </c>
      <c r="B161" s="350" t="s">
        <v>186</v>
      </c>
      <c r="C161" s="351">
        <v>54672</v>
      </c>
      <c r="D161" s="351">
        <v>57420</v>
      </c>
      <c r="E161" s="351">
        <v>60348</v>
      </c>
      <c r="F161" s="351">
        <v>63348</v>
      </c>
      <c r="G161" s="351">
        <v>66552</v>
      </c>
    </row>
    <row r="162" spans="1:7" ht="14.1" customHeight="1" x14ac:dyDescent="0.2">
      <c r="A162" s="349" t="s">
        <v>335</v>
      </c>
      <c r="B162" s="350" t="s">
        <v>193</v>
      </c>
      <c r="C162" s="351">
        <v>50052</v>
      </c>
      <c r="D162" s="351">
        <v>52572</v>
      </c>
      <c r="E162" s="351">
        <v>55212</v>
      </c>
      <c r="F162" s="351">
        <v>57996</v>
      </c>
      <c r="G162" s="351">
        <v>60936</v>
      </c>
    </row>
    <row r="163" spans="1:7" ht="14.1" customHeight="1" x14ac:dyDescent="0.2">
      <c r="A163" s="349" t="s">
        <v>336</v>
      </c>
      <c r="B163" s="350" t="s">
        <v>195</v>
      </c>
      <c r="C163" s="351">
        <v>57924</v>
      </c>
      <c r="D163" s="351">
        <v>60840</v>
      </c>
      <c r="E163" s="351">
        <v>63936</v>
      </c>
      <c r="F163" s="351">
        <v>67152</v>
      </c>
      <c r="G163" s="351">
        <v>70524</v>
      </c>
    </row>
    <row r="164" spans="1:7" ht="14.1" customHeight="1" x14ac:dyDescent="0.2">
      <c r="A164" s="349" t="s">
        <v>337</v>
      </c>
      <c r="B164" s="350" t="s">
        <v>195</v>
      </c>
      <c r="C164" s="351">
        <v>57924</v>
      </c>
      <c r="D164" s="351">
        <v>60840</v>
      </c>
      <c r="E164" s="351">
        <v>63936</v>
      </c>
      <c r="F164" s="351">
        <v>67152</v>
      </c>
      <c r="G164" s="351">
        <v>70524</v>
      </c>
    </row>
    <row r="165" spans="1:7" ht="14.1" customHeight="1" x14ac:dyDescent="0.2">
      <c r="A165" s="349" t="s">
        <v>868</v>
      </c>
      <c r="B165" s="350" t="s">
        <v>193</v>
      </c>
      <c r="C165" s="351">
        <v>50052</v>
      </c>
      <c r="D165" s="351">
        <v>52572</v>
      </c>
      <c r="E165" s="351">
        <v>55212</v>
      </c>
      <c r="F165" s="351">
        <v>57996</v>
      </c>
      <c r="G165" s="351">
        <v>60936</v>
      </c>
    </row>
    <row r="166" spans="1:7" ht="14.1" customHeight="1" x14ac:dyDescent="0.2">
      <c r="A166" s="349" t="s">
        <v>338</v>
      </c>
      <c r="B166" s="350" t="s">
        <v>210</v>
      </c>
      <c r="C166" s="351">
        <v>60288</v>
      </c>
      <c r="D166" s="351">
        <v>63276</v>
      </c>
      <c r="E166" s="351">
        <v>66492</v>
      </c>
      <c r="F166" s="351">
        <v>69828</v>
      </c>
      <c r="G166" s="351">
        <v>73356</v>
      </c>
    </row>
    <row r="167" spans="1:7" ht="14.1" customHeight="1" x14ac:dyDescent="0.2">
      <c r="A167" s="349" t="s">
        <v>339</v>
      </c>
      <c r="B167" s="350" t="s">
        <v>210</v>
      </c>
      <c r="C167" s="351">
        <v>60288</v>
      </c>
      <c r="D167" s="351">
        <v>63276</v>
      </c>
      <c r="E167" s="351">
        <v>66492</v>
      </c>
      <c r="F167" s="351">
        <v>69828</v>
      </c>
      <c r="G167" s="351">
        <v>73356</v>
      </c>
    </row>
    <row r="168" spans="1:7" ht="14.1" customHeight="1" x14ac:dyDescent="0.2">
      <c r="A168" s="349" t="s">
        <v>869</v>
      </c>
      <c r="B168" s="350" t="s">
        <v>193</v>
      </c>
      <c r="C168" s="351">
        <v>50052</v>
      </c>
      <c r="D168" s="351">
        <v>52572</v>
      </c>
      <c r="E168" s="351">
        <v>55212</v>
      </c>
      <c r="F168" s="351">
        <v>57996</v>
      </c>
      <c r="G168" s="351">
        <v>60936</v>
      </c>
    </row>
    <row r="169" spans="1:7" ht="14.1" customHeight="1" x14ac:dyDescent="0.2">
      <c r="A169" s="349" t="s">
        <v>340</v>
      </c>
      <c r="B169" s="350" t="s">
        <v>217</v>
      </c>
      <c r="C169" s="351">
        <v>43344</v>
      </c>
      <c r="D169" s="351">
        <v>45576</v>
      </c>
      <c r="E169" s="351">
        <v>47820</v>
      </c>
      <c r="F169" s="351">
        <v>50244</v>
      </c>
      <c r="G169" s="351">
        <v>52776</v>
      </c>
    </row>
    <row r="170" spans="1:7" ht="14.1" customHeight="1" x14ac:dyDescent="0.2">
      <c r="A170" s="349" t="s">
        <v>870</v>
      </c>
      <c r="B170" s="350" t="s">
        <v>210</v>
      </c>
      <c r="C170" s="351">
        <v>60288</v>
      </c>
      <c r="D170" s="351">
        <v>63276</v>
      </c>
      <c r="E170" s="351">
        <v>66492</v>
      </c>
      <c r="F170" s="351">
        <v>69828</v>
      </c>
      <c r="G170" s="351">
        <v>73356</v>
      </c>
    </row>
    <row r="171" spans="1:7" ht="14.1" customHeight="1" x14ac:dyDescent="0.2">
      <c r="A171" s="349" t="s">
        <v>341</v>
      </c>
      <c r="B171" s="349" t="s">
        <v>207</v>
      </c>
      <c r="C171" s="351">
        <v>62964</v>
      </c>
      <c r="D171" s="351">
        <v>66132</v>
      </c>
      <c r="E171" s="351">
        <v>69492</v>
      </c>
      <c r="F171" s="351">
        <v>72948</v>
      </c>
      <c r="G171" s="351">
        <v>76656</v>
      </c>
    </row>
    <row r="172" spans="1:7" ht="14.1" customHeight="1" x14ac:dyDescent="0.2">
      <c r="A172" s="349" t="s">
        <v>342</v>
      </c>
      <c r="B172" s="349" t="s">
        <v>343</v>
      </c>
      <c r="C172" s="351">
        <v>62964</v>
      </c>
      <c r="D172" s="351">
        <v>66132</v>
      </c>
      <c r="E172" s="351">
        <v>69492</v>
      </c>
      <c r="F172" s="351">
        <v>72948</v>
      </c>
      <c r="G172" s="351">
        <v>76656</v>
      </c>
    </row>
    <row r="173" spans="1:7" ht="14.1" customHeight="1" x14ac:dyDescent="0.2">
      <c r="A173" s="349" t="s">
        <v>344</v>
      </c>
      <c r="B173" s="350" t="s">
        <v>210</v>
      </c>
      <c r="C173" s="351">
        <v>60288</v>
      </c>
      <c r="D173" s="351">
        <v>63276</v>
      </c>
      <c r="E173" s="351">
        <v>66492</v>
      </c>
      <c r="F173" s="351">
        <v>69828</v>
      </c>
      <c r="G173" s="351">
        <v>73356</v>
      </c>
    </row>
    <row r="174" spans="1:7" ht="14.1" customHeight="1" x14ac:dyDescent="0.2">
      <c r="A174" s="349" t="s">
        <v>871</v>
      </c>
      <c r="B174" s="350" t="s">
        <v>191</v>
      </c>
      <c r="C174" s="351">
        <v>62964</v>
      </c>
      <c r="D174" s="351">
        <v>66132</v>
      </c>
      <c r="E174" s="351">
        <v>69492</v>
      </c>
      <c r="F174" s="351">
        <v>72948</v>
      </c>
      <c r="G174" s="351">
        <v>76656</v>
      </c>
    </row>
    <row r="175" spans="1:7" ht="14.1" customHeight="1" x14ac:dyDescent="0.2">
      <c r="A175" s="349" t="s">
        <v>345</v>
      </c>
      <c r="B175" s="350" t="s">
        <v>197</v>
      </c>
      <c r="C175" s="351">
        <v>65604</v>
      </c>
      <c r="D175" s="351">
        <v>68928</v>
      </c>
      <c r="E175" s="351">
        <v>72372</v>
      </c>
      <c r="F175" s="351">
        <v>76032</v>
      </c>
      <c r="G175" s="351">
        <v>79896</v>
      </c>
    </row>
    <row r="176" spans="1:7" ht="14.1" customHeight="1" x14ac:dyDescent="0.2">
      <c r="A176" s="349" t="s">
        <v>346</v>
      </c>
      <c r="B176" s="350" t="s">
        <v>210</v>
      </c>
      <c r="C176" s="351">
        <v>60288</v>
      </c>
      <c r="D176" s="351">
        <v>63276</v>
      </c>
      <c r="E176" s="351">
        <v>66492</v>
      </c>
      <c r="F176" s="351">
        <v>69828</v>
      </c>
      <c r="G176" s="351">
        <v>73356</v>
      </c>
    </row>
    <row r="177" spans="1:7" ht="14.1" customHeight="1" x14ac:dyDescent="0.2">
      <c r="A177" s="349" t="s">
        <v>347</v>
      </c>
      <c r="B177" s="350" t="s">
        <v>210</v>
      </c>
      <c r="C177" s="351">
        <v>60288</v>
      </c>
      <c r="D177" s="351">
        <v>63276</v>
      </c>
      <c r="E177" s="351">
        <v>66492</v>
      </c>
      <c r="F177" s="351">
        <v>69828</v>
      </c>
      <c r="G177" s="351">
        <v>73356</v>
      </c>
    </row>
    <row r="178" spans="1:7" ht="14.1" customHeight="1" x14ac:dyDescent="0.2">
      <c r="A178" s="349" t="s">
        <v>348</v>
      </c>
      <c r="B178" s="350" t="s">
        <v>212</v>
      </c>
      <c r="C178" s="351">
        <v>76092</v>
      </c>
      <c r="D178" s="351">
        <v>79956</v>
      </c>
      <c r="E178" s="351">
        <v>83964</v>
      </c>
      <c r="F178" s="351">
        <v>88188</v>
      </c>
      <c r="G178" s="351">
        <v>92616</v>
      </c>
    </row>
    <row r="179" spans="1:7" ht="14.1" customHeight="1" x14ac:dyDescent="0.2">
      <c r="A179" s="349" t="s">
        <v>349</v>
      </c>
      <c r="B179" s="350" t="s">
        <v>230</v>
      </c>
      <c r="C179" s="351">
        <v>68748</v>
      </c>
      <c r="D179" s="351">
        <v>72228</v>
      </c>
      <c r="E179" s="351">
        <v>75876</v>
      </c>
      <c r="F179" s="351">
        <v>79692</v>
      </c>
      <c r="G179" s="351">
        <v>83712</v>
      </c>
    </row>
    <row r="180" spans="1:7" ht="14.1" customHeight="1" x14ac:dyDescent="0.2">
      <c r="A180" s="349" t="s">
        <v>350</v>
      </c>
      <c r="B180" s="350" t="s">
        <v>212</v>
      </c>
      <c r="C180" s="351">
        <v>76092</v>
      </c>
      <c r="D180" s="351">
        <v>79956</v>
      </c>
      <c r="E180" s="351">
        <v>83964</v>
      </c>
      <c r="F180" s="351">
        <v>88188</v>
      </c>
      <c r="G180" s="351">
        <v>92616</v>
      </c>
    </row>
    <row r="181" spans="1:7" ht="14.1" customHeight="1" x14ac:dyDescent="0.2">
      <c r="A181" s="349" t="s">
        <v>351</v>
      </c>
      <c r="B181" s="350" t="s">
        <v>212</v>
      </c>
      <c r="C181" s="351">
        <v>76092</v>
      </c>
      <c r="D181" s="351">
        <v>79956</v>
      </c>
      <c r="E181" s="351">
        <v>83964</v>
      </c>
      <c r="F181" s="351">
        <v>88188</v>
      </c>
      <c r="G181" s="351">
        <v>92616</v>
      </c>
    </row>
    <row r="182" spans="1:7" ht="14.1" customHeight="1" x14ac:dyDescent="0.2">
      <c r="A182" s="349" t="s">
        <v>352</v>
      </c>
      <c r="B182" s="350" t="s">
        <v>230</v>
      </c>
      <c r="C182" s="351">
        <v>68748</v>
      </c>
      <c r="D182" s="351">
        <v>72228</v>
      </c>
      <c r="E182" s="351">
        <v>75876</v>
      </c>
      <c r="F182" s="351">
        <v>79692</v>
      </c>
      <c r="G182" s="351">
        <v>83712</v>
      </c>
    </row>
    <row r="183" spans="1:7" ht="14.1" customHeight="1" x14ac:dyDescent="0.2">
      <c r="A183" s="349" t="s">
        <v>353</v>
      </c>
      <c r="B183" s="350" t="s">
        <v>230</v>
      </c>
      <c r="C183" s="351">
        <v>68748</v>
      </c>
      <c r="D183" s="351">
        <v>72228</v>
      </c>
      <c r="E183" s="351">
        <v>75876</v>
      </c>
      <c r="F183" s="351">
        <v>79692</v>
      </c>
      <c r="G183" s="351">
        <v>83712</v>
      </c>
    </row>
    <row r="184" spans="1:7" ht="14.1" customHeight="1" x14ac:dyDescent="0.2">
      <c r="A184" s="349" t="s">
        <v>354</v>
      </c>
      <c r="B184" s="350" t="s">
        <v>230</v>
      </c>
      <c r="C184" s="351">
        <v>68748</v>
      </c>
      <c r="D184" s="351">
        <v>72228</v>
      </c>
      <c r="E184" s="351">
        <v>75876</v>
      </c>
      <c r="F184" s="351">
        <v>79692</v>
      </c>
      <c r="G184" s="351">
        <v>83712</v>
      </c>
    </row>
    <row r="185" spans="1:7" ht="14.1" customHeight="1" x14ac:dyDescent="0.2">
      <c r="A185" s="349" t="s">
        <v>355</v>
      </c>
      <c r="B185" s="350" t="s">
        <v>230</v>
      </c>
      <c r="C185" s="351">
        <v>68748</v>
      </c>
      <c r="D185" s="351">
        <v>72228</v>
      </c>
      <c r="E185" s="351">
        <v>75876</v>
      </c>
      <c r="F185" s="351">
        <v>79692</v>
      </c>
      <c r="G185" s="351">
        <v>83712</v>
      </c>
    </row>
    <row r="186" spans="1:7" ht="14.1" customHeight="1" x14ac:dyDescent="0.2">
      <c r="A186" s="349" t="s">
        <v>356</v>
      </c>
      <c r="B186" s="350" t="s">
        <v>191</v>
      </c>
      <c r="C186" s="351">
        <v>62964</v>
      </c>
      <c r="D186" s="351">
        <v>66132</v>
      </c>
      <c r="E186" s="351">
        <v>69492</v>
      </c>
      <c r="F186" s="351">
        <v>72948</v>
      </c>
      <c r="G186" s="351">
        <v>76656</v>
      </c>
    </row>
    <row r="187" spans="1:7" ht="14.1" customHeight="1" x14ac:dyDescent="0.2">
      <c r="A187" s="349" t="s">
        <v>357</v>
      </c>
      <c r="B187" s="350" t="s">
        <v>186</v>
      </c>
      <c r="C187" s="351">
        <v>54672</v>
      </c>
      <c r="D187" s="351">
        <v>57420</v>
      </c>
      <c r="E187" s="351">
        <v>60348</v>
      </c>
      <c r="F187" s="351">
        <v>63348</v>
      </c>
      <c r="G187" s="351">
        <v>66552</v>
      </c>
    </row>
    <row r="188" spans="1:7" ht="14.1" customHeight="1" x14ac:dyDescent="0.2">
      <c r="A188" s="349" t="s">
        <v>358</v>
      </c>
      <c r="B188" s="350" t="s">
        <v>193</v>
      </c>
      <c r="C188" s="351">
        <v>50052</v>
      </c>
      <c r="D188" s="351">
        <v>52572</v>
      </c>
      <c r="E188" s="351">
        <v>55212</v>
      </c>
      <c r="F188" s="351">
        <v>57996</v>
      </c>
      <c r="G188" s="351">
        <v>60936</v>
      </c>
    </row>
    <row r="189" spans="1:7" ht="14.1" customHeight="1" x14ac:dyDescent="0.2">
      <c r="A189" s="349" t="s">
        <v>359</v>
      </c>
      <c r="B189" s="350" t="s">
        <v>236</v>
      </c>
      <c r="C189" s="351">
        <v>52248</v>
      </c>
      <c r="D189" s="351">
        <v>54888</v>
      </c>
      <c r="E189" s="351">
        <v>57660</v>
      </c>
      <c r="F189" s="351">
        <v>60540</v>
      </c>
      <c r="G189" s="351">
        <v>63624</v>
      </c>
    </row>
    <row r="190" spans="1:7" ht="14.1" customHeight="1" x14ac:dyDescent="0.2">
      <c r="A190" s="349" t="s">
        <v>360</v>
      </c>
      <c r="B190" s="350" t="s">
        <v>186</v>
      </c>
      <c r="C190" s="351">
        <v>54672</v>
      </c>
      <c r="D190" s="351">
        <v>57420</v>
      </c>
      <c r="E190" s="351">
        <v>60348</v>
      </c>
      <c r="F190" s="351">
        <v>63348</v>
      </c>
      <c r="G190" s="351">
        <v>66552</v>
      </c>
    </row>
    <row r="191" spans="1:7" ht="14.1" customHeight="1" x14ac:dyDescent="0.2">
      <c r="A191" s="349" t="s">
        <v>361</v>
      </c>
      <c r="B191" s="350" t="s">
        <v>222</v>
      </c>
      <c r="C191" s="351">
        <v>47832</v>
      </c>
      <c r="D191" s="351">
        <v>50268</v>
      </c>
      <c r="E191" s="351">
        <v>52812</v>
      </c>
      <c r="F191" s="351">
        <v>55440</v>
      </c>
      <c r="G191" s="351">
        <v>58248</v>
      </c>
    </row>
    <row r="192" spans="1:7" ht="14.1" customHeight="1" x14ac:dyDescent="0.2">
      <c r="A192" s="349" t="s">
        <v>362</v>
      </c>
      <c r="B192" s="350" t="s">
        <v>186</v>
      </c>
      <c r="C192" s="351">
        <v>54672</v>
      </c>
      <c r="D192" s="351">
        <v>57420</v>
      </c>
      <c r="E192" s="351">
        <v>60348</v>
      </c>
      <c r="F192" s="351">
        <v>63348</v>
      </c>
      <c r="G192" s="351">
        <v>66552</v>
      </c>
    </row>
    <row r="193" spans="1:7" ht="14.1" customHeight="1" x14ac:dyDescent="0.2">
      <c r="A193" s="349" t="s">
        <v>363</v>
      </c>
      <c r="B193" s="350" t="s">
        <v>191</v>
      </c>
      <c r="C193" s="351">
        <v>62964</v>
      </c>
      <c r="D193" s="351">
        <v>66132</v>
      </c>
      <c r="E193" s="351">
        <v>69492</v>
      </c>
      <c r="F193" s="351">
        <v>72948</v>
      </c>
      <c r="G193" s="351">
        <v>76656</v>
      </c>
    </row>
    <row r="194" spans="1:7" ht="14.1" customHeight="1" x14ac:dyDescent="0.2">
      <c r="A194" s="349" t="s">
        <v>364</v>
      </c>
      <c r="B194" s="350" t="s">
        <v>193</v>
      </c>
      <c r="C194" s="351">
        <v>50052</v>
      </c>
      <c r="D194" s="351">
        <v>52572</v>
      </c>
      <c r="E194" s="351">
        <v>55212</v>
      </c>
      <c r="F194" s="351">
        <v>57996</v>
      </c>
      <c r="G194" s="351">
        <v>60936</v>
      </c>
    </row>
    <row r="195" spans="1:7" ht="14.1" customHeight="1" x14ac:dyDescent="0.2">
      <c r="A195" s="349" t="s">
        <v>365</v>
      </c>
      <c r="B195" s="350" t="s">
        <v>186</v>
      </c>
      <c r="C195" s="351">
        <v>54672</v>
      </c>
      <c r="D195" s="351">
        <v>57420</v>
      </c>
      <c r="E195" s="351">
        <v>60348</v>
      </c>
      <c r="F195" s="351">
        <v>63348</v>
      </c>
      <c r="G195" s="351">
        <v>66552</v>
      </c>
    </row>
    <row r="196" spans="1:7" ht="14.1" customHeight="1" x14ac:dyDescent="0.2">
      <c r="A196" s="349" t="s">
        <v>872</v>
      </c>
      <c r="B196" s="350" t="s">
        <v>186</v>
      </c>
      <c r="C196" s="351">
        <v>54672</v>
      </c>
      <c r="D196" s="351">
        <v>57420</v>
      </c>
      <c r="E196" s="351">
        <v>60348</v>
      </c>
      <c r="F196" s="351">
        <v>63348</v>
      </c>
      <c r="G196" s="351">
        <v>66552</v>
      </c>
    </row>
    <row r="197" spans="1:7" ht="14.1" customHeight="1" x14ac:dyDescent="0.2">
      <c r="A197" s="349" t="s">
        <v>366</v>
      </c>
      <c r="B197" s="350" t="s">
        <v>210</v>
      </c>
      <c r="C197" s="351">
        <v>60288</v>
      </c>
      <c r="D197" s="351">
        <v>63276</v>
      </c>
      <c r="E197" s="351">
        <v>66492</v>
      </c>
      <c r="F197" s="351">
        <v>69828</v>
      </c>
      <c r="G197" s="351">
        <v>73356</v>
      </c>
    </row>
    <row r="198" spans="1:7" ht="14.1" customHeight="1" x14ac:dyDescent="0.2">
      <c r="A198" s="349" t="s">
        <v>367</v>
      </c>
      <c r="B198" s="350" t="s">
        <v>197</v>
      </c>
      <c r="C198" s="351">
        <v>65604</v>
      </c>
      <c r="D198" s="351">
        <v>68928</v>
      </c>
      <c r="E198" s="351">
        <v>72372</v>
      </c>
      <c r="F198" s="351">
        <v>76032</v>
      </c>
      <c r="G198" s="351">
        <v>79896</v>
      </c>
    </row>
    <row r="199" spans="1:7" ht="14.1" customHeight="1" x14ac:dyDescent="0.2">
      <c r="A199" s="349" t="s">
        <v>368</v>
      </c>
      <c r="B199" s="350" t="s">
        <v>188</v>
      </c>
      <c r="C199" s="351">
        <v>41460</v>
      </c>
      <c r="D199" s="351">
        <v>43548</v>
      </c>
      <c r="E199" s="351">
        <v>45744</v>
      </c>
      <c r="F199" s="351">
        <v>48036</v>
      </c>
      <c r="G199" s="351">
        <v>50472</v>
      </c>
    </row>
    <row r="200" spans="1:7" ht="14.1" customHeight="1" x14ac:dyDescent="0.2">
      <c r="A200" s="349" t="s">
        <v>873</v>
      </c>
      <c r="B200" s="350" t="s">
        <v>195</v>
      </c>
      <c r="C200" s="351">
        <v>57924</v>
      </c>
      <c r="D200" s="351">
        <v>60840</v>
      </c>
      <c r="E200" s="351">
        <v>63936</v>
      </c>
      <c r="F200" s="351">
        <v>67152</v>
      </c>
      <c r="G200" s="351">
        <v>70524</v>
      </c>
    </row>
    <row r="201" spans="1:7" ht="14.1" customHeight="1" x14ac:dyDescent="0.2">
      <c r="A201" s="349" t="s">
        <v>369</v>
      </c>
      <c r="B201" s="350" t="s">
        <v>193</v>
      </c>
      <c r="C201" s="351">
        <v>50052</v>
      </c>
      <c r="D201" s="351">
        <v>52572</v>
      </c>
      <c r="E201" s="351">
        <v>55212</v>
      </c>
      <c r="F201" s="351">
        <v>57996</v>
      </c>
      <c r="G201" s="351">
        <v>60936</v>
      </c>
    </row>
    <row r="202" spans="1:7" ht="14.1" customHeight="1" x14ac:dyDescent="0.2">
      <c r="A202" s="349" t="s">
        <v>370</v>
      </c>
      <c r="B202" s="350" t="s">
        <v>210</v>
      </c>
      <c r="C202" s="351">
        <v>60288</v>
      </c>
      <c r="D202" s="351">
        <v>63276</v>
      </c>
      <c r="E202" s="351">
        <v>66492</v>
      </c>
      <c r="F202" s="351">
        <v>69828</v>
      </c>
      <c r="G202" s="351">
        <v>73356</v>
      </c>
    </row>
    <row r="203" spans="1:7" ht="14.1" customHeight="1" x14ac:dyDescent="0.2">
      <c r="A203" s="349" t="s">
        <v>371</v>
      </c>
      <c r="B203" s="350" t="s">
        <v>210</v>
      </c>
      <c r="C203" s="351">
        <v>60288</v>
      </c>
      <c r="D203" s="351">
        <v>63276</v>
      </c>
      <c r="E203" s="351">
        <v>66492</v>
      </c>
      <c r="F203" s="351">
        <v>69828</v>
      </c>
      <c r="G203" s="351">
        <v>73356</v>
      </c>
    </row>
    <row r="204" spans="1:7" ht="14.1" customHeight="1" x14ac:dyDescent="0.2">
      <c r="A204" s="349" t="s">
        <v>372</v>
      </c>
      <c r="B204" s="350" t="s">
        <v>210</v>
      </c>
      <c r="C204" s="351">
        <v>60288</v>
      </c>
      <c r="D204" s="351">
        <v>63276</v>
      </c>
      <c r="E204" s="351">
        <v>66492</v>
      </c>
      <c r="F204" s="351">
        <v>69828</v>
      </c>
      <c r="G204" s="351">
        <v>73356</v>
      </c>
    </row>
    <row r="205" spans="1:7" ht="14.1" customHeight="1" x14ac:dyDescent="0.2">
      <c r="A205" s="349" t="s">
        <v>874</v>
      </c>
      <c r="B205" s="350" t="s">
        <v>197</v>
      </c>
      <c r="C205" s="351">
        <v>65604</v>
      </c>
      <c r="D205" s="351">
        <v>68928</v>
      </c>
      <c r="E205" s="351">
        <v>72372</v>
      </c>
      <c r="F205" s="351">
        <v>76032</v>
      </c>
      <c r="G205" s="351">
        <v>79896</v>
      </c>
    </row>
    <row r="206" spans="1:7" ht="14.1" customHeight="1" x14ac:dyDescent="0.2">
      <c r="A206" s="349" t="s">
        <v>875</v>
      </c>
      <c r="B206" s="350" t="s">
        <v>197</v>
      </c>
      <c r="C206" s="351">
        <v>65604</v>
      </c>
      <c r="D206" s="351">
        <v>68928</v>
      </c>
      <c r="E206" s="351">
        <v>72372</v>
      </c>
      <c r="F206" s="351">
        <v>76032</v>
      </c>
      <c r="G206" s="351">
        <v>79896</v>
      </c>
    </row>
    <row r="207" spans="1:7" ht="14.1" customHeight="1" x14ac:dyDescent="0.2">
      <c r="A207" s="349" t="s">
        <v>876</v>
      </c>
      <c r="B207" s="350" t="s">
        <v>444</v>
      </c>
      <c r="C207" s="351">
        <v>84768</v>
      </c>
      <c r="D207" s="351">
        <v>89052</v>
      </c>
      <c r="E207" s="351">
        <v>93540</v>
      </c>
      <c r="F207" s="351">
        <v>98244</v>
      </c>
      <c r="G207" s="351">
        <v>103176</v>
      </c>
    </row>
    <row r="208" spans="1:7" ht="14.1" customHeight="1" x14ac:dyDescent="0.2">
      <c r="A208" s="349" t="s">
        <v>373</v>
      </c>
      <c r="B208" s="350" t="s">
        <v>192</v>
      </c>
      <c r="C208" s="351">
        <v>45444</v>
      </c>
      <c r="D208" s="351">
        <v>47724</v>
      </c>
      <c r="E208" s="351">
        <v>50148</v>
      </c>
      <c r="F208" s="351">
        <v>52656</v>
      </c>
      <c r="G208" s="351">
        <v>55320</v>
      </c>
    </row>
    <row r="209" spans="1:7" ht="14.1" customHeight="1" x14ac:dyDescent="0.2">
      <c r="A209" s="349" t="s">
        <v>374</v>
      </c>
      <c r="B209" s="350" t="s">
        <v>186</v>
      </c>
      <c r="C209" s="351">
        <v>54672</v>
      </c>
      <c r="D209" s="351">
        <v>57420</v>
      </c>
      <c r="E209" s="351">
        <v>60348</v>
      </c>
      <c r="F209" s="351">
        <v>63348</v>
      </c>
      <c r="G209" s="351">
        <v>66552</v>
      </c>
    </row>
    <row r="210" spans="1:7" ht="14.1" customHeight="1" x14ac:dyDescent="0.2">
      <c r="A210" s="349" t="s">
        <v>375</v>
      </c>
      <c r="B210" s="350" t="s">
        <v>197</v>
      </c>
      <c r="C210" s="351">
        <v>65604</v>
      </c>
      <c r="D210" s="351">
        <v>68928</v>
      </c>
      <c r="E210" s="351">
        <v>72372</v>
      </c>
      <c r="F210" s="351">
        <v>76032</v>
      </c>
      <c r="G210" s="351">
        <v>79896</v>
      </c>
    </row>
    <row r="211" spans="1:7" ht="14.1" customHeight="1" x14ac:dyDescent="0.2">
      <c r="A211" s="349" t="s">
        <v>376</v>
      </c>
      <c r="B211" s="350" t="s">
        <v>197</v>
      </c>
      <c r="C211" s="351">
        <v>65604</v>
      </c>
      <c r="D211" s="351">
        <v>68928</v>
      </c>
      <c r="E211" s="351">
        <v>72372</v>
      </c>
      <c r="F211" s="351">
        <v>76032</v>
      </c>
      <c r="G211" s="351">
        <v>79896</v>
      </c>
    </row>
    <row r="212" spans="1:7" ht="14.1" customHeight="1" x14ac:dyDescent="0.2">
      <c r="A212" s="349" t="s">
        <v>377</v>
      </c>
      <c r="B212" s="350" t="s">
        <v>186</v>
      </c>
      <c r="C212" s="351">
        <v>54672</v>
      </c>
      <c r="D212" s="351">
        <v>57420</v>
      </c>
      <c r="E212" s="351">
        <v>60348</v>
      </c>
      <c r="F212" s="351">
        <v>63348</v>
      </c>
      <c r="G212" s="351">
        <v>66552</v>
      </c>
    </row>
    <row r="213" spans="1:7" ht="14.1" customHeight="1" x14ac:dyDescent="0.2">
      <c r="A213" s="349" t="s">
        <v>378</v>
      </c>
      <c r="B213" s="350" t="s">
        <v>186</v>
      </c>
      <c r="C213" s="351">
        <v>54672</v>
      </c>
      <c r="D213" s="351">
        <v>57420</v>
      </c>
      <c r="E213" s="351">
        <v>60348</v>
      </c>
      <c r="F213" s="351">
        <v>63348</v>
      </c>
      <c r="G213" s="351">
        <v>66552</v>
      </c>
    </row>
    <row r="214" spans="1:7" ht="14.1" customHeight="1" x14ac:dyDescent="0.2">
      <c r="A214" s="349" t="s">
        <v>379</v>
      </c>
      <c r="B214" s="350" t="s">
        <v>210</v>
      </c>
      <c r="C214" s="351">
        <v>60288</v>
      </c>
      <c r="D214" s="351">
        <v>63276</v>
      </c>
      <c r="E214" s="351">
        <v>66492</v>
      </c>
      <c r="F214" s="351">
        <v>69828</v>
      </c>
      <c r="G214" s="351">
        <v>73356</v>
      </c>
    </row>
    <row r="215" spans="1:7" ht="14.1" customHeight="1" x14ac:dyDescent="0.2">
      <c r="A215" s="349" t="s">
        <v>877</v>
      </c>
      <c r="B215" s="350" t="s">
        <v>192</v>
      </c>
      <c r="C215" s="351">
        <v>45444</v>
      </c>
      <c r="D215" s="351">
        <v>47724</v>
      </c>
      <c r="E215" s="351">
        <v>50148</v>
      </c>
      <c r="F215" s="351">
        <v>52656</v>
      </c>
      <c r="G215" s="351">
        <v>55320</v>
      </c>
    </row>
    <row r="216" spans="1:7" ht="14.1" customHeight="1" x14ac:dyDescent="0.2">
      <c r="A216" s="349" t="s">
        <v>380</v>
      </c>
      <c r="B216" s="350" t="s">
        <v>230</v>
      </c>
      <c r="C216" s="351">
        <v>68748</v>
      </c>
      <c r="D216" s="351">
        <v>72228</v>
      </c>
      <c r="E216" s="351">
        <v>75876</v>
      </c>
      <c r="F216" s="351">
        <v>79692</v>
      </c>
      <c r="G216" s="351">
        <v>83712</v>
      </c>
    </row>
    <row r="217" spans="1:7" ht="14.1" customHeight="1" x14ac:dyDescent="0.2">
      <c r="A217" s="349" t="s">
        <v>381</v>
      </c>
      <c r="B217" s="350" t="s">
        <v>212</v>
      </c>
      <c r="C217" s="351">
        <v>76092</v>
      </c>
      <c r="D217" s="351">
        <v>79956</v>
      </c>
      <c r="E217" s="351">
        <v>83964</v>
      </c>
      <c r="F217" s="351">
        <v>88188</v>
      </c>
      <c r="G217" s="351">
        <v>92616</v>
      </c>
    </row>
    <row r="218" spans="1:7" ht="14.1" customHeight="1" x14ac:dyDescent="0.2">
      <c r="A218" s="349" t="s">
        <v>382</v>
      </c>
      <c r="B218" s="350" t="s">
        <v>186</v>
      </c>
      <c r="C218" s="351">
        <v>54672</v>
      </c>
      <c r="D218" s="351">
        <v>57420</v>
      </c>
      <c r="E218" s="351">
        <v>60348</v>
      </c>
      <c r="F218" s="351">
        <v>63348</v>
      </c>
      <c r="G218" s="351">
        <v>66552</v>
      </c>
    </row>
    <row r="219" spans="1:7" ht="14.1" customHeight="1" x14ac:dyDescent="0.2">
      <c r="A219" s="349" t="s">
        <v>383</v>
      </c>
      <c r="B219" s="350" t="s">
        <v>191</v>
      </c>
      <c r="C219" s="351">
        <v>62964</v>
      </c>
      <c r="D219" s="351">
        <v>66132</v>
      </c>
      <c r="E219" s="351">
        <v>69492</v>
      </c>
      <c r="F219" s="351">
        <v>72948</v>
      </c>
      <c r="G219" s="351">
        <v>76656</v>
      </c>
    </row>
    <row r="220" spans="1:7" ht="14.1" customHeight="1" x14ac:dyDescent="0.2">
      <c r="A220" s="349" t="s">
        <v>384</v>
      </c>
      <c r="B220" s="350" t="s">
        <v>259</v>
      </c>
      <c r="C220" s="351">
        <v>72264</v>
      </c>
      <c r="D220" s="351">
        <v>75912</v>
      </c>
      <c r="E220" s="351">
        <v>79728</v>
      </c>
      <c r="F220" s="351">
        <v>83760</v>
      </c>
      <c r="G220" s="351">
        <v>87972</v>
      </c>
    </row>
    <row r="221" spans="1:7" ht="14.1" customHeight="1" x14ac:dyDescent="0.2">
      <c r="A221" s="349" t="s">
        <v>385</v>
      </c>
      <c r="B221" s="350" t="s">
        <v>188</v>
      </c>
      <c r="C221" s="351">
        <v>41460</v>
      </c>
      <c r="D221" s="351">
        <v>43548</v>
      </c>
      <c r="E221" s="351">
        <v>45744</v>
      </c>
      <c r="F221" s="351">
        <v>48036</v>
      </c>
      <c r="G221" s="351">
        <v>50472</v>
      </c>
    </row>
    <row r="222" spans="1:7" ht="14.1" customHeight="1" x14ac:dyDescent="0.2">
      <c r="A222" s="349" t="s">
        <v>386</v>
      </c>
      <c r="B222" s="350" t="s">
        <v>186</v>
      </c>
      <c r="C222" s="351">
        <v>54672</v>
      </c>
      <c r="D222" s="351">
        <v>57420</v>
      </c>
      <c r="E222" s="351">
        <v>60348</v>
      </c>
      <c r="F222" s="351">
        <v>63348</v>
      </c>
      <c r="G222" s="351">
        <v>66552</v>
      </c>
    </row>
    <row r="223" spans="1:7" ht="14.1" customHeight="1" x14ac:dyDescent="0.2">
      <c r="A223" s="349" t="s">
        <v>387</v>
      </c>
      <c r="B223" s="350" t="s">
        <v>186</v>
      </c>
      <c r="C223" s="351">
        <v>54672</v>
      </c>
      <c r="D223" s="351">
        <v>57420</v>
      </c>
      <c r="E223" s="351">
        <v>60348</v>
      </c>
      <c r="F223" s="351">
        <v>63348</v>
      </c>
      <c r="G223" s="351">
        <v>66552</v>
      </c>
    </row>
    <row r="224" spans="1:7" ht="14.1" customHeight="1" x14ac:dyDescent="0.2">
      <c r="A224" s="349" t="s">
        <v>388</v>
      </c>
      <c r="B224" s="350" t="s">
        <v>192</v>
      </c>
      <c r="C224" s="351">
        <v>45444</v>
      </c>
      <c r="D224" s="351">
        <v>47724</v>
      </c>
      <c r="E224" s="351">
        <v>50148</v>
      </c>
      <c r="F224" s="351">
        <v>52656</v>
      </c>
      <c r="G224" s="351">
        <v>55320</v>
      </c>
    </row>
    <row r="225" spans="1:7" ht="14.1" customHeight="1" x14ac:dyDescent="0.2">
      <c r="A225" s="349" t="s">
        <v>878</v>
      </c>
      <c r="B225" s="350" t="s">
        <v>193</v>
      </c>
      <c r="C225" s="351">
        <v>50052</v>
      </c>
      <c r="D225" s="351">
        <v>52572</v>
      </c>
      <c r="E225" s="351">
        <v>55212</v>
      </c>
      <c r="F225" s="351">
        <v>57996</v>
      </c>
      <c r="G225" s="351">
        <v>60936</v>
      </c>
    </row>
    <row r="226" spans="1:7" ht="14.1" customHeight="1" x14ac:dyDescent="0.2">
      <c r="A226" s="349" t="s">
        <v>1105</v>
      </c>
      <c r="B226" s="350" t="s">
        <v>210</v>
      </c>
      <c r="C226" s="351">
        <v>60288</v>
      </c>
      <c r="D226" s="351">
        <v>63276</v>
      </c>
      <c r="E226" s="351">
        <v>66492</v>
      </c>
      <c r="F226" s="351">
        <v>69828</v>
      </c>
      <c r="G226" s="351">
        <v>73356</v>
      </c>
    </row>
    <row r="227" spans="1:7" ht="14.1" customHeight="1" x14ac:dyDescent="0.2">
      <c r="A227" s="349" t="s">
        <v>389</v>
      </c>
      <c r="B227" s="350" t="s">
        <v>193</v>
      </c>
      <c r="C227" s="351">
        <v>50052</v>
      </c>
      <c r="D227" s="351">
        <v>52572</v>
      </c>
      <c r="E227" s="351">
        <v>55212</v>
      </c>
      <c r="F227" s="351">
        <v>57996</v>
      </c>
      <c r="G227" s="351">
        <v>60936</v>
      </c>
    </row>
    <row r="228" spans="1:7" ht="14.1" customHeight="1" x14ac:dyDescent="0.2">
      <c r="A228" s="349" t="s">
        <v>390</v>
      </c>
      <c r="B228" s="350" t="s">
        <v>210</v>
      </c>
      <c r="C228" s="351">
        <v>60288</v>
      </c>
      <c r="D228" s="351">
        <v>63276</v>
      </c>
      <c r="E228" s="351">
        <v>66492</v>
      </c>
      <c r="F228" s="351">
        <v>69828</v>
      </c>
      <c r="G228" s="351">
        <v>73356</v>
      </c>
    </row>
    <row r="229" spans="1:7" ht="14.1" customHeight="1" x14ac:dyDescent="0.2">
      <c r="A229" s="349" t="s">
        <v>391</v>
      </c>
      <c r="B229" s="350" t="s">
        <v>210</v>
      </c>
      <c r="C229" s="351">
        <v>60288</v>
      </c>
      <c r="D229" s="351">
        <v>63276</v>
      </c>
      <c r="E229" s="351">
        <v>66492</v>
      </c>
      <c r="F229" s="351">
        <v>69828</v>
      </c>
      <c r="G229" s="351">
        <v>73356</v>
      </c>
    </row>
    <row r="230" spans="1:7" ht="14.1" customHeight="1" x14ac:dyDescent="0.2">
      <c r="A230" s="349" t="s">
        <v>392</v>
      </c>
      <c r="B230" s="350" t="s">
        <v>188</v>
      </c>
      <c r="C230" s="351">
        <v>41460</v>
      </c>
      <c r="D230" s="351">
        <v>43548</v>
      </c>
      <c r="E230" s="351">
        <v>45744</v>
      </c>
      <c r="F230" s="351">
        <v>48036</v>
      </c>
      <c r="G230" s="351">
        <v>50472</v>
      </c>
    </row>
    <row r="231" spans="1:7" ht="14.1" customHeight="1" x14ac:dyDescent="0.2">
      <c r="A231" s="349" t="s">
        <v>393</v>
      </c>
      <c r="B231" s="350" t="s">
        <v>236</v>
      </c>
      <c r="C231" s="351">
        <v>52248</v>
      </c>
      <c r="D231" s="351">
        <v>54888</v>
      </c>
      <c r="E231" s="351">
        <v>57660</v>
      </c>
      <c r="F231" s="351">
        <v>60540</v>
      </c>
      <c r="G231" s="351">
        <v>63624</v>
      </c>
    </row>
    <row r="232" spans="1:7" ht="14.1" customHeight="1" x14ac:dyDescent="0.2">
      <c r="A232" s="349" t="s">
        <v>394</v>
      </c>
      <c r="B232" s="350" t="s">
        <v>197</v>
      </c>
      <c r="C232" s="351">
        <v>65604</v>
      </c>
      <c r="D232" s="351">
        <v>68928</v>
      </c>
      <c r="E232" s="351">
        <v>72372</v>
      </c>
      <c r="F232" s="351">
        <v>76032</v>
      </c>
      <c r="G232" s="351">
        <v>79896</v>
      </c>
    </row>
    <row r="233" spans="1:7" ht="14.1" customHeight="1" x14ac:dyDescent="0.2">
      <c r="A233" s="349" t="s">
        <v>395</v>
      </c>
      <c r="B233" s="350" t="s">
        <v>217</v>
      </c>
      <c r="C233" s="351">
        <v>43344</v>
      </c>
      <c r="D233" s="351">
        <v>45576</v>
      </c>
      <c r="E233" s="351">
        <v>47820</v>
      </c>
      <c r="F233" s="351">
        <v>50244</v>
      </c>
      <c r="G233" s="351">
        <v>52776</v>
      </c>
    </row>
    <row r="234" spans="1:7" ht="14.1" customHeight="1" x14ac:dyDescent="0.2">
      <c r="A234" s="349" t="s">
        <v>396</v>
      </c>
      <c r="B234" s="350" t="s">
        <v>195</v>
      </c>
      <c r="C234" s="351">
        <v>57924</v>
      </c>
      <c r="D234" s="351">
        <v>60840</v>
      </c>
      <c r="E234" s="351">
        <v>63936</v>
      </c>
      <c r="F234" s="351">
        <v>67152</v>
      </c>
      <c r="G234" s="351">
        <v>70524</v>
      </c>
    </row>
    <row r="235" spans="1:7" ht="14.1" customHeight="1" x14ac:dyDescent="0.2">
      <c r="A235" s="349" t="s">
        <v>397</v>
      </c>
      <c r="B235" s="350" t="s">
        <v>230</v>
      </c>
      <c r="C235" s="351">
        <v>68748</v>
      </c>
      <c r="D235" s="351">
        <v>72228</v>
      </c>
      <c r="E235" s="351">
        <v>75876</v>
      </c>
      <c r="F235" s="351">
        <v>79692</v>
      </c>
      <c r="G235" s="351">
        <v>83712</v>
      </c>
    </row>
    <row r="236" spans="1:7" ht="14.1" customHeight="1" x14ac:dyDescent="0.2">
      <c r="A236" s="349" t="s">
        <v>879</v>
      </c>
      <c r="B236" s="350" t="s">
        <v>212</v>
      </c>
      <c r="C236" s="351">
        <v>76092</v>
      </c>
      <c r="D236" s="351">
        <v>79956</v>
      </c>
      <c r="E236" s="351">
        <v>83964</v>
      </c>
      <c r="F236" s="351">
        <v>88188</v>
      </c>
      <c r="G236" s="351">
        <v>92616</v>
      </c>
    </row>
    <row r="237" spans="1:7" ht="14.1" customHeight="1" x14ac:dyDescent="0.2">
      <c r="A237" s="349" t="s">
        <v>398</v>
      </c>
      <c r="B237" s="350" t="s">
        <v>192</v>
      </c>
      <c r="C237" s="351">
        <v>45444</v>
      </c>
      <c r="D237" s="351">
        <v>47724</v>
      </c>
      <c r="E237" s="351">
        <v>50148</v>
      </c>
      <c r="F237" s="351">
        <v>52656</v>
      </c>
      <c r="G237" s="351">
        <v>55320</v>
      </c>
    </row>
    <row r="238" spans="1:7" ht="14.1" customHeight="1" x14ac:dyDescent="0.2">
      <c r="A238" s="349" t="s">
        <v>1106</v>
      </c>
      <c r="B238" s="350" t="s">
        <v>443</v>
      </c>
      <c r="C238" s="351">
        <v>80124</v>
      </c>
      <c r="D238" s="351">
        <v>84168</v>
      </c>
      <c r="E238" s="351">
        <v>88416</v>
      </c>
      <c r="F238" s="351">
        <v>92880</v>
      </c>
      <c r="G238" s="351">
        <v>97536</v>
      </c>
    </row>
    <row r="239" spans="1:7" ht="14.1" customHeight="1" x14ac:dyDescent="0.2">
      <c r="A239" s="349" t="s">
        <v>399</v>
      </c>
      <c r="B239" s="350" t="s">
        <v>222</v>
      </c>
      <c r="C239" s="351">
        <v>47832</v>
      </c>
      <c r="D239" s="351">
        <v>50268</v>
      </c>
      <c r="E239" s="351">
        <v>52812</v>
      </c>
      <c r="F239" s="351">
        <v>55440</v>
      </c>
      <c r="G239" s="351">
        <v>58248</v>
      </c>
    </row>
    <row r="240" spans="1:7" ht="14.1" customHeight="1" x14ac:dyDescent="0.2">
      <c r="A240" s="349" t="s">
        <v>880</v>
      </c>
      <c r="B240" s="350" t="s">
        <v>210</v>
      </c>
      <c r="C240" s="351">
        <v>60288</v>
      </c>
      <c r="D240" s="351">
        <v>63276</v>
      </c>
      <c r="E240" s="351">
        <v>66492</v>
      </c>
      <c r="F240" s="351">
        <v>69828</v>
      </c>
      <c r="G240" s="351">
        <v>73356</v>
      </c>
    </row>
    <row r="241" spans="1:7" ht="14.1" customHeight="1" x14ac:dyDescent="0.2">
      <c r="A241" s="349" t="s">
        <v>881</v>
      </c>
      <c r="B241" s="350" t="s">
        <v>197</v>
      </c>
      <c r="C241" s="351">
        <v>65604</v>
      </c>
      <c r="D241" s="351">
        <v>68928</v>
      </c>
      <c r="E241" s="351">
        <v>72372</v>
      </c>
      <c r="F241" s="351">
        <v>76032</v>
      </c>
      <c r="G241" s="351">
        <v>79896</v>
      </c>
    </row>
    <row r="242" spans="1:7" ht="14.1" customHeight="1" x14ac:dyDescent="0.2">
      <c r="A242" s="349" t="s">
        <v>400</v>
      </c>
      <c r="B242" s="350" t="s">
        <v>193</v>
      </c>
      <c r="C242" s="351">
        <v>50052</v>
      </c>
      <c r="D242" s="351">
        <v>52572</v>
      </c>
      <c r="E242" s="351">
        <v>55212</v>
      </c>
      <c r="F242" s="351">
        <v>57996</v>
      </c>
      <c r="G242" s="351">
        <v>60936</v>
      </c>
    </row>
    <row r="243" spans="1:7" ht="14.1" customHeight="1" x14ac:dyDescent="0.2">
      <c r="A243" s="349" t="s">
        <v>882</v>
      </c>
      <c r="B243" s="350" t="s">
        <v>192</v>
      </c>
      <c r="C243" s="351">
        <v>45444</v>
      </c>
      <c r="D243" s="351">
        <v>47724</v>
      </c>
      <c r="E243" s="351">
        <v>50148</v>
      </c>
      <c r="F243" s="351">
        <v>52656</v>
      </c>
      <c r="G243" s="351">
        <v>55320</v>
      </c>
    </row>
    <row r="244" spans="1:7" ht="14.1" customHeight="1" x14ac:dyDescent="0.2">
      <c r="A244" s="349" t="s">
        <v>401</v>
      </c>
      <c r="B244" s="350" t="s">
        <v>186</v>
      </c>
      <c r="C244" s="351">
        <v>54672</v>
      </c>
      <c r="D244" s="351">
        <v>57420</v>
      </c>
      <c r="E244" s="351">
        <v>60348</v>
      </c>
      <c r="F244" s="351">
        <v>63348</v>
      </c>
      <c r="G244" s="351">
        <v>66552</v>
      </c>
    </row>
    <row r="245" spans="1:7" ht="14.1" customHeight="1" x14ac:dyDescent="0.2">
      <c r="A245" s="349" t="s">
        <v>402</v>
      </c>
      <c r="B245" s="350" t="s">
        <v>236</v>
      </c>
      <c r="C245" s="351">
        <v>52248</v>
      </c>
      <c r="D245" s="351">
        <v>54888</v>
      </c>
      <c r="E245" s="351">
        <v>57660</v>
      </c>
      <c r="F245" s="351">
        <v>60540</v>
      </c>
      <c r="G245" s="351">
        <v>63624</v>
      </c>
    </row>
    <row r="246" spans="1:7" ht="14.1" customHeight="1" x14ac:dyDescent="0.2">
      <c r="A246" s="349" t="s">
        <v>403</v>
      </c>
      <c r="B246" s="350" t="s">
        <v>210</v>
      </c>
      <c r="C246" s="351">
        <v>60288</v>
      </c>
      <c r="D246" s="351">
        <v>63276</v>
      </c>
      <c r="E246" s="351">
        <v>66492</v>
      </c>
      <c r="F246" s="351">
        <v>69828</v>
      </c>
      <c r="G246" s="351">
        <v>73356</v>
      </c>
    </row>
    <row r="247" spans="1:7" ht="14.1" customHeight="1" x14ac:dyDescent="0.2">
      <c r="A247" s="349" t="s">
        <v>883</v>
      </c>
      <c r="B247" s="350" t="s">
        <v>197</v>
      </c>
      <c r="C247" s="351">
        <v>65604</v>
      </c>
      <c r="D247" s="351">
        <v>68928</v>
      </c>
      <c r="E247" s="351">
        <v>72372</v>
      </c>
      <c r="F247" s="351">
        <v>76032</v>
      </c>
      <c r="G247" s="351">
        <v>79896</v>
      </c>
    </row>
    <row r="248" spans="1:7" ht="14.1" customHeight="1" x14ac:dyDescent="0.2">
      <c r="A248" s="349" t="s">
        <v>404</v>
      </c>
      <c r="B248" s="350" t="s">
        <v>230</v>
      </c>
      <c r="C248" s="351">
        <v>68748</v>
      </c>
      <c r="D248" s="351">
        <v>72228</v>
      </c>
      <c r="E248" s="351">
        <v>75876</v>
      </c>
      <c r="F248" s="351">
        <v>79692</v>
      </c>
      <c r="G248" s="351">
        <v>83712</v>
      </c>
    </row>
    <row r="249" spans="1:7" ht="14.1" customHeight="1" x14ac:dyDescent="0.2">
      <c r="A249" s="349" t="s">
        <v>405</v>
      </c>
      <c r="B249" s="350" t="s">
        <v>236</v>
      </c>
      <c r="C249" s="351">
        <v>52248</v>
      </c>
      <c r="D249" s="351">
        <v>54888</v>
      </c>
      <c r="E249" s="351">
        <v>57660</v>
      </c>
      <c r="F249" s="351">
        <v>60540</v>
      </c>
      <c r="G249" s="351">
        <v>63624</v>
      </c>
    </row>
    <row r="250" spans="1:7" ht="14.1" customHeight="1" x14ac:dyDescent="0.2">
      <c r="A250" s="349" t="s">
        <v>884</v>
      </c>
      <c r="B250" s="350" t="s">
        <v>192</v>
      </c>
      <c r="C250" s="351">
        <v>45444</v>
      </c>
      <c r="D250" s="351">
        <v>47724</v>
      </c>
      <c r="E250" s="351">
        <v>50148</v>
      </c>
      <c r="F250" s="351">
        <v>52656</v>
      </c>
      <c r="G250" s="351">
        <v>55320</v>
      </c>
    </row>
    <row r="251" spans="1:7" ht="14.1" customHeight="1" x14ac:dyDescent="0.2">
      <c r="A251" s="349" t="s">
        <v>772</v>
      </c>
      <c r="B251" s="350" t="s">
        <v>191</v>
      </c>
      <c r="C251" s="351">
        <v>62964</v>
      </c>
      <c r="D251" s="351">
        <v>66132</v>
      </c>
      <c r="E251" s="351">
        <v>69492</v>
      </c>
      <c r="F251" s="351">
        <v>72948</v>
      </c>
      <c r="G251" s="351">
        <v>76656</v>
      </c>
    </row>
    <row r="252" spans="1:7" ht="14.1" customHeight="1" x14ac:dyDescent="0.2">
      <c r="A252" s="349" t="s">
        <v>406</v>
      </c>
      <c r="B252" s="350" t="s">
        <v>195</v>
      </c>
      <c r="C252" s="351">
        <v>57924</v>
      </c>
      <c r="D252" s="351">
        <v>60840</v>
      </c>
      <c r="E252" s="351">
        <v>63936</v>
      </c>
      <c r="F252" s="351">
        <v>67152</v>
      </c>
      <c r="G252" s="351">
        <v>70524</v>
      </c>
    </row>
    <row r="253" spans="1:7" ht="14.1" customHeight="1" x14ac:dyDescent="0.2">
      <c r="A253" s="349" t="s">
        <v>407</v>
      </c>
      <c r="B253" s="350" t="s">
        <v>236</v>
      </c>
      <c r="C253" s="351">
        <v>52248</v>
      </c>
      <c r="D253" s="351">
        <v>54888</v>
      </c>
      <c r="E253" s="351">
        <v>57660</v>
      </c>
      <c r="F253" s="351">
        <v>60540</v>
      </c>
      <c r="G253" s="351">
        <v>63624</v>
      </c>
    </row>
    <row r="254" spans="1:7" ht="14.1" customHeight="1" x14ac:dyDescent="0.2">
      <c r="A254" s="349" t="s">
        <v>408</v>
      </c>
      <c r="B254" s="350" t="s">
        <v>236</v>
      </c>
      <c r="C254" s="351">
        <v>52248</v>
      </c>
      <c r="D254" s="351">
        <v>54888</v>
      </c>
      <c r="E254" s="351">
        <v>57660</v>
      </c>
      <c r="F254" s="351">
        <v>60540</v>
      </c>
      <c r="G254" s="351">
        <v>63624</v>
      </c>
    </row>
    <row r="255" spans="1:7" ht="14.1" customHeight="1" x14ac:dyDescent="0.2">
      <c r="A255" s="349" t="s">
        <v>773</v>
      </c>
      <c r="B255" s="350" t="s">
        <v>197</v>
      </c>
      <c r="C255" s="351">
        <v>65604</v>
      </c>
      <c r="D255" s="351">
        <v>68928</v>
      </c>
      <c r="E255" s="351">
        <v>72372</v>
      </c>
      <c r="F255" s="351">
        <v>76032</v>
      </c>
      <c r="G255" s="351">
        <v>79896</v>
      </c>
    </row>
    <row r="256" spans="1:7" ht="14.1" customHeight="1" x14ac:dyDescent="0.2">
      <c r="A256" s="349" t="s">
        <v>885</v>
      </c>
      <c r="B256" s="350" t="s">
        <v>210</v>
      </c>
      <c r="C256" s="351">
        <v>60288</v>
      </c>
      <c r="D256" s="351">
        <v>63276</v>
      </c>
      <c r="E256" s="351">
        <v>66492</v>
      </c>
      <c r="F256" s="351">
        <v>69828</v>
      </c>
      <c r="G256" s="351">
        <v>73356</v>
      </c>
    </row>
    <row r="257" spans="1:7" ht="14.1" customHeight="1" x14ac:dyDescent="0.2">
      <c r="A257" s="349" t="s">
        <v>409</v>
      </c>
      <c r="B257" s="350" t="s">
        <v>186</v>
      </c>
      <c r="C257" s="351">
        <v>54672</v>
      </c>
      <c r="D257" s="351">
        <v>57420</v>
      </c>
      <c r="E257" s="351">
        <v>60348</v>
      </c>
      <c r="F257" s="351">
        <v>63348</v>
      </c>
      <c r="G257" s="351">
        <v>66552</v>
      </c>
    </row>
    <row r="258" spans="1:7" ht="14.1" customHeight="1" x14ac:dyDescent="0.2">
      <c r="A258" s="349" t="s">
        <v>410</v>
      </c>
      <c r="B258" s="350" t="s">
        <v>197</v>
      </c>
      <c r="C258" s="351">
        <v>65604</v>
      </c>
      <c r="D258" s="351">
        <v>68928</v>
      </c>
      <c r="E258" s="351">
        <v>72372</v>
      </c>
      <c r="F258" s="351">
        <v>76032</v>
      </c>
      <c r="G258" s="351">
        <v>79896</v>
      </c>
    </row>
    <row r="259" spans="1:7" ht="14.1" customHeight="1" x14ac:dyDescent="0.2">
      <c r="A259" s="349" t="s">
        <v>411</v>
      </c>
      <c r="B259" s="350" t="s">
        <v>210</v>
      </c>
      <c r="C259" s="351">
        <v>60288</v>
      </c>
      <c r="D259" s="351">
        <v>63276</v>
      </c>
      <c r="E259" s="351">
        <v>66492</v>
      </c>
      <c r="F259" s="351">
        <v>69828</v>
      </c>
      <c r="G259" s="351">
        <v>73356</v>
      </c>
    </row>
    <row r="260" spans="1:7" ht="14.1" customHeight="1" x14ac:dyDescent="0.2">
      <c r="A260" s="349" t="s">
        <v>412</v>
      </c>
      <c r="B260" s="350" t="s">
        <v>222</v>
      </c>
      <c r="C260" s="351">
        <v>47832</v>
      </c>
      <c r="D260" s="351">
        <v>50268</v>
      </c>
      <c r="E260" s="351">
        <v>52812</v>
      </c>
      <c r="F260" s="351">
        <v>55440</v>
      </c>
      <c r="G260" s="351">
        <v>58248</v>
      </c>
    </row>
    <row r="261" spans="1:7" ht="14.1" customHeight="1" x14ac:dyDescent="0.2">
      <c r="A261" s="349" t="s">
        <v>413</v>
      </c>
      <c r="B261" s="350" t="s">
        <v>186</v>
      </c>
      <c r="C261" s="351">
        <v>54672</v>
      </c>
      <c r="D261" s="351">
        <v>57420</v>
      </c>
      <c r="E261" s="351">
        <v>60348</v>
      </c>
      <c r="F261" s="351">
        <v>63348</v>
      </c>
      <c r="G261" s="351">
        <v>66552</v>
      </c>
    </row>
    <row r="262" spans="1:7" ht="14.1" customHeight="1" x14ac:dyDescent="0.2">
      <c r="A262" s="349" t="s">
        <v>414</v>
      </c>
      <c r="B262" s="350" t="s">
        <v>188</v>
      </c>
      <c r="C262" s="351">
        <v>41460</v>
      </c>
      <c r="D262" s="351">
        <v>43548</v>
      </c>
      <c r="E262" s="351">
        <v>45744</v>
      </c>
      <c r="F262" s="351">
        <v>48036</v>
      </c>
      <c r="G262" s="351">
        <v>50472</v>
      </c>
    </row>
    <row r="263" spans="1:7" ht="14.1" customHeight="1" x14ac:dyDescent="0.2">
      <c r="A263" s="349" t="s">
        <v>415</v>
      </c>
      <c r="B263" s="350" t="s">
        <v>217</v>
      </c>
      <c r="C263" s="351">
        <v>43344</v>
      </c>
      <c r="D263" s="351">
        <v>45576</v>
      </c>
      <c r="E263" s="351">
        <v>47820</v>
      </c>
      <c r="F263" s="351">
        <v>50244</v>
      </c>
      <c r="G263" s="351">
        <v>52776</v>
      </c>
    </row>
    <row r="264" spans="1:7" ht="14.1" customHeight="1" x14ac:dyDescent="0.2">
      <c r="A264" s="349" t="s">
        <v>416</v>
      </c>
      <c r="B264" s="350" t="s">
        <v>417</v>
      </c>
      <c r="C264" s="351">
        <v>89184</v>
      </c>
      <c r="D264" s="351">
        <v>93660</v>
      </c>
      <c r="E264" s="351">
        <v>98400</v>
      </c>
      <c r="F264" s="351">
        <v>103356</v>
      </c>
      <c r="G264" s="351">
        <v>108576</v>
      </c>
    </row>
    <row r="265" spans="1:7" ht="14.1" customHeight="1" x14ac:dyDescent="0.2">
      <c r="A265" s="349" t="s">
        <v>418</v>
      </c>
      <c r="B265" s="350" t="s">
        <v>192</v>
      </c>
      <c r="C265" s="351">
        <v>45444</v>
      </c>
      <c r="D265" s="351">
        <v>47724</v>
      </c>
      <c r="E265" s="351">
        <v>50148</v>
      </c>
      <c r="F265" s="351">
        <v>52656</v>
      </c>
      <c r="G265" s="351">
        <v>55320</v>
      </c>
    </row>
    <row r="266" spans="1:7" ht="14.1" customHeight="1" x14ac:dyDescent="0.2">
      <c r="A266" s="349" t="s">
        <v>419</v>
      </c>
      <c r="B266" s="350" t="s">
        <v>210</v>
      </c>
      <c r="C266" s="351">
        <v>60288</v>
      </c>
      <c r="D266" s="351">
        <v>63276</v>
      </c>
      <c r="E266" s="351">
        <v>66492</v>
      </c>
      <c r="F266" s="351">
        <v>69828</v>
      </c>
      <c r="G266" s="351">
        <v>73356</v>
      </c>
    </row>
    <row r="267" spans="1:7" ht="14.1" customHeight="1" x14ac:dyDescent="0.2">
      <c r="A267" s="349" t="s">
        <v>420</v>
      </c>
      <c r="B267" s="350" t="s">
        <v>191</v>
      </c>
      <c r="C267" s="351">
        <v>62964</v>
      </c>
      <c r="D267" s="351">
        <v>66132</v>
      </c>
      <c r="E267" s="351">
        <v>69492</v>
      </c>
      <c r="F267" s="351">
        <v>72948</v>
      </c>
      <c r="G267" s="351">
        <v>76656</v>
      </c>
    </row>
    <row r="268" spans="1:7" ht="14.1" customHeight="1" x14ac:dyDescent="0.2">
      <c r="A268" s="349" t="s">
        <v>421</v>
      </c>
      <c r="B268" s="350" t="s">
        <v>186</v>
      </c>
      <c r="C268" s="351">
        <v>54672</v>
      </c>
      <c r="D268" s="351">
        <v>57420</v>
      </c>
      <c r="E268" s="351">
        <v>60348</v>
      </c>
      <c r="F268" s="351">
        <v>63348</v>
      </c>
      <c r="G268" s="351">
        <v>66552</v>
      </c>
    </row>
    <row r="269" spans="1:7" ht="12" customHeight="1" x14ac:dyDescent="0.2">
      <c r="A269" s="349" t="s">
        <v>422</v>
      </c>
      <c r="B269" s="350" t="s">
        <v>188</v>
      </c>
      <c r="C269" s="351">
        <v>41460</v>
      </c>
      <c r="D269" s="351">
        <v>43548</v>
      </c>
      <c r="E269" s="351">
        <v>45744</v>
      </c>
      <c r="F269" s="351">
        <v>48036</v>
      </c>
      <c r="G269" s="351">
        <v>50472</v>
      </c>
    </row>
    <row r="270" spans="1:7" ht="12" customHeight="1" x14ac:dyDescent="0.2">
      <c r="A270" s="349" t="s">
        <v>423</v>
      </c>
      <c r="B270" s="350" t="s">
        <v>186</v>
      </c>
      <c r="C270" s="351">
        <v>54672</v>
      </c>
      <c r="D270" s="351">
        <v>57420</v>
      </c>
      <c r="E270" s="351">
        <v>60348</v>
      </c>
      <c r="F270" s="351">
        <v>63348</v>
      </c>
      <c r="G270" s="351">
        <v>66552</v>
      </c>
    </row>
    <row r="271" spans="1:7" ht="12" customHeight="1" x14ac:dyDescent="0.2">
      <c r="A271" s="349" t="s">
        <v>424</v>
      </c>
      <c r="B271" s="350" t="s">
        <v>192</v>
      </c>
      <c r="C271" s="351">
        <v>45444</v>
      </c>
      <c r="D271" s="351">
        <v>47724</v>
      </c>
      <c r="E271" s="351">
        <v>50148</v>
      </c>
      <c r="F271" s="351">
        <v>52656</v>
      </c>
      <c r="G271" s="351">
        <v>55320</v>
      </c>
    </row>
    <row r="272" spans="1:7" ht="12" customHeight="1" x14ac:dyDescent="0.2">
      <c r="A272" s="349" t="s">
        <v>425</v>
      </c>
      <c r="B272" s="350" t="s">
        <v>210</v>
      </c>
      <c r="C272" s="351">
        <v>60288</v>
      </c>
      <c r="D272" s="351">
        <v>63276</v>
      </c>
      <c r="E272" s="351">
        <v>66492</v>
      </c>
      <c r="F272" s="351">
        <v>69828</v>
      </c>
      <c r="G272" s="351">
        <v>73356</v>
      </c>
    </row>
    <row r="273" spans="1:7" ht="12" customHeight="1" x14ac:dyDescent="0.2">
      <c r="A273" s="349" t="s">
        <v>886</v>
      </c>
      <c r="B273" s="350" t="s">
        <v>193</v>
      </c>
      <c r="C273" s="351">
        <v>50052</v>
      </c>
      <c r="D273" s="351">
        <v>52572</v>
      </c>
      <c r="E273" s="351">
        <v>55212</v>
      </c>
      <c r="F273" s="351">
        <v>57996</v>
      </c>
      <c r="G273" s="351">
        <v>60936</v>
      </c>
    </row>
    <row r="274" spans="1:7" ht="12" customHeight="1" x14ac:dyDescent="0.2">
      <c r="A274" s="349" t="s">
        <v>426</v>
      </c>
      <c r="B274" s="350" t="s">
        <v>192</v>
      </c>
      <c r="C274" s="351">
        <v>45444</v>
      </c>
      <c r="D274" s="351">
        <v>47724</v>
      </c>
      <c r="E274" s="351">
        <v>50148</v>
      </c>
      <c r="F274" s="351">
        <v>52656</v>
      </c>
      <c r="G274" s="351">
        <v>55320</v>
      </c>
    </row>
    <row r="275" spans="1:7" ht="12" customHeight="1" x14ac:dyDescent="0.2">
      <c r="A275" s="349" t="s">
        <v>427</v>
      </c>
      <c r="B275" s="350" t="s">
        <v>197</v>
      </c>
      <c r="C275" s="351">
        <v>65604</v>
      </c>
      <c r="D275" s="351">
        <v>68928</v>
      </c>
      <c r="E275" s="351">
        <v>72372</v>
      </c>
      <c r="F275" s="351">
        <v>76032</v>
      </c>
      <c r="G275" s="351">
        <v>79896</v>
      </c>
    </row>
    <row r="276" spans="1:7" ht="12" customHeight="1" x14ac:dyDescent="0.2">
      <c r="A276" s="349" t="s">
        <v>428</v>
      </c>
      <c r="B276" s="350" t="s">
        <v>210</v>
      </c>
      <c r="C276" s="351">
        <v>60288</v>
      </c>
      <c r="D276" s="351">
        <v>63276</v>
      </c>
      <c r="E276" s="351">
        <v>66492</v>
      </c>
      <c r="F276" s="351">
        <v>69828</v>
      </c>
      <c r="G276" s="351">
        <v>73356</v>
      </c>
    </row>
    <row r="277" spans="1:7" ht="12" customHeight="1" x14ac:dyDescent="0.2">
      <c r="A277" s="349" t="s">
        <v>429</v>
      </c>
      <c r="B277" s="350" t="s">
        <v>197</v>
      </c>
      <c r="C277" s="351">
        <v>65604</v>
      </c>
      <c r="D277" s="351">
        <v>68928</v>
      </c>
      <c r="E277" s="351">
        <v>72372</v>
      </c>
      <c r="F277" s="351">
        <v>76032</v>
      </c>
      <c r="G277" s="351">
        <v>79896</v>
      </c>
    </row>
    <row r="278" spans="1:7" ht="12" customHeight="1" x14ac:dyDescent="0.2">
      <c r="A278" s="349" t="s">
        <v>887</v>
      </c>
      <c r="B278" s="350" t="s">
        <v>186</v>
      </c>
      <c r="C278" s="351">
        <v>54672</v>
      </c>
      <c r="D278" s="351">
        <v>57420</v>
      </c>
      <c r="E278" s="351">
        <v>60348</v>
      </c>
      <c r="F278" s="351">
        <v>63348</v>
      </c>
      <c r="G278" s="351">
        <v>66552</v>
      </c>
    </row>
    <row r="279" spans="1:7" ht="12" customHeight="1" x14ac:dyDescent="0.2">
      <c r="A279" s="349" t="s">
        <v>888</v>
      </c>
      <c r="B279" s="350" t="s">
        <v>197</v>
      </c>
      <c r="C279" s="351">
        <v>65604</v>
      </c>
      <c r="D279" s="351">
        <v>68928</v>
      </c>
      <c r="E279" s="351">
        <v>72372</v>
      </c>
      <c r="F279" s="351">
        <v>76032</v>
      </c>
      <c r="G279" s="351">
        <v>79896</v>
      </c>
    </row>
    <row r="280" spans="1:7" ht="12" customHeight="1" x14ac:dyDescent="0.2">
      <c r="A280" s="349" t="s">
        <v>430</v>
      </c>
      <c r="B280" s="350" t="s">
        <v>191</v>
      </c>
      <c r="C280" s="351">
        <v>62964</v>
      </c>
      <c r="D280" s="351">
        <v>66132</v>
      </c>
      <c r="E280" s="351">
        <v>69492</v>
      </c>
      <c r="F280" s="351">
        <v>72948</v>
      </c>
      <c r="G280" s="351">
        <v>76656</v>
      </c>
    </row>
    <row r="281" spans="1:7" ht="12" customHeight="1" x14ac:dyDescent="0.2">
      <c r="A281" s="349" t="s">
        <v>431</v>
      </c>
      <c r="B281" s="350" t="s">
        <v>195</v>
      </c>
      <c r="C281" s="351">
        <v>57924</v>
      </c>
      <c r="D281" s="351">
        <v>60840</v>
      </c>
      <c r="E281" s="351">
        <v>63936</v>
      </c>
      <c r="F281" s="351">
        <v>67152</v>
      </c>
      <c r="G281" s="351">
        <v>70524</v>
      </c>
    </row>
    <row r="282" spans="1:7" ht="12" customHeight="1" x14ac:dyDescent="0.2">
      <c r="A282" s="349" t="s">
        <v>432</v>
      </c>
      <c r="B282" s="350" t="s">
        <v>297</v>
      </c>
      <c r="C282" s="351">
        <v>39456</v>
      </c>
      <c r="D282" s="351">
        <v>41424</v>
      </c>
      <c r="E282" s="351">
        <v>43524</v>
      </c>
      <c r="F282" s="351">
        <v>45732</v>
      </c>
      <c r="G282" s="351">
        <v>48000</v>
      </c>
    </row>
    <row r="283" spans="1:7" ht="12" customHeight="1" x14ac:dyDescent="0.2">
      <c r="A283" s="349" t="s">
        <v>889</v>
      </c>
      <c r="B283" s="350" t="s">
        <v>212</v>
      </c>
      <c r="C283" s="351">
        <v>76092</v>
      </c>
      <c r="D283" s="351">
        <v>79956</v>
      </c>
      <c r="E283" s="351">
        <v>83964</v>
      </c>
      <c r="F283" s="351">
        <v>88188</v>
      </c>
      <c r="G283" s="351">
        <v>92616</v>
      </c>
    </row>
    <row r="284" spans="1:7" ht="12" customHeight="1" x14ac:dyDescent="0.2">
      <c r="A284" s="349" t="s">
        <v>890</v>
      </c>
      <c r="B284" s="350" t="s">
        <v>210</v>
      </c>
      <c r="C284" s="351">
        <v>60288</v>
      </c>
      <c r="D284" s="351">
        <v>63276</v>
      </c>
      <c r="E284" s="351">
        <v>66492</v>
      </c>
      <c r="F284" s="351">
        <v>69828</v>
      </c>
      <c r="G284" s="351">
        <v>73356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116"/>
  <sheetViews>
    <sheetView topLeftCell="A91" workbookViewId="0">
      <selection sqref="A1:A116"/>
    </sheetView>
  </sheetViews>
  <sheetFormatPr defaultRowHeight="15" x14ac:dyDescent="0.25"/>
  <cols>
    <col min="1" max="1" width="40.5703125" style="382" bestFit="1" customWidth="1"/>
    <col min="2" max="16384" width="9.140625" style="382"/>
  </cols>
  <sheetData>
    <row r="1" spans="1:2" x14ac:dyDescent="0.25">
      <c r="A1" s="380"/>
      <c r="B1" s="381"/>
    </row>
    <row r="2" spans="1:2" x14ac:dyDescent="0.25">
      <c r="A2" s="383" t="s">
        <v>525</v>
      </c>
      <c r="B2" s="384">
        <v>25</v>
      </c>
    </row>
    <row r="3" spans="1:2" x14ac:dyDescent="0.25">
      <c r="A3" s="383" t="s">
        <v>583</v>
      </c>
      <c r="B3" s="384">
        <v>12</v>
      </c>
    </row>
    <row r="4" spans="1:2" x14ac:dyDescent="0.25">
      <c r="A4" s="383" t="s">
        <v>584</v>
      </c>
      <c r="B4" s="384">
        <v>11</v>
      </c>
    </row>
    <row r="5" spans="1:2" x14ac:dyDescent="0.25">
      <c r="A5" s="383" t="s">
        <v>585</v>
      </c>
      <c r="B5" s="384">
        <v>11</v>
      </c>
    </row>
    <row r="6" spans="1:2" x14ac:dyDescent="0.25">
      <c r="A6" s="383" t="s">
        <v>586</v>
      </c>
      <c r="B6" s="384">
        <v>24</v>
      </c>
    </row>
    <row r="7" spans="1:2" x14ac:dyDescent="0.25">
      <c r="A7" s="383" t="s">
        <v>526</v>
      </c>
      <c r="B7" s="384">
        <v>13</v>
      </c>
    </row>
    <row r="8" spans="1:2" x14ac:dyDescent="0.25">
      <c r="A8" s="383" t="s">
        <v>501</v>
      </c>
      <c r="B8" s="384">
        <v>35</v>
      </c>
    </row>
    <row r="9" spans="1:2" x14ac:dyDescent="0.25">
      <c r="A9" s="383" t="s">
        <v>502</v>
      </c>
      <c r="B9" s="384">
        <v>11</v>
      </c>
    </row>
    <row r="10" spans="1:2" x14ac:dyDescent="0.25">
      <c r="A10" s="383" t="s">
        <v>503</v>
      </c>
      <c r="B10" s="384">
        <v>11</v>
      </c>
    </row>
    <row r="11" spans="1:2" x14ac:dyDescent="0.25">
      <c r="A11" s="383" t="s">
        <v>530</v>
      </c>
      <c r="B11" s="384">
        <v>17.54</v>
      </c>
    </row>
    <row r="12" spans="1:2" x14ac:dyDescent="0.25">
      <c r="A12" s="383" t="s">
        <v>587</v>
      </c>
      <c r="B12" s="384">
        <v>11</v>
      </c>
    </row>
    <row r="13" spans="1:2" x14ac:dyDescent="0.25">
      <c r="A13" s="383" t="s">
        <v>521</v>
      </c>
      <c r="B13" s="384">
        <v>13</v>
      </c>
    </row>
    <row r="14" spans="1:2" x14ac:dyDescent="0.25">
      <c r="A14" s="383" t="s">
        <v>536</v>
      </c>
      <c r="B14" s="384">
        <v>24</v>
      </c>
    </row>
    <row r="15" spans="1:2" x14ac:dyDescent="0.25">
      <c r="A15" s="383" t="s">
        <v>522</v>
      </c>
      <c r="B15" s="384">
        <v>17</v>
      </c>
    </row>
    <row r="16" spans="1:2" x14ac:dyDescent="0.25">
      <c r="A16" s="383" t="s">
        <v>588</v>
      </c>
      <c r="B16" s="384">
        <v>12.5</v>
      </c>
    </row>
    <row r="17" spans="1:2" x14ac:dyDescent="0.25">
      <c r="A17" s="383" t="s">
        <v>589</v>
      </c>
      <c r="B17" s="384">
        <v>18</v>
      </c>
    </row>
    <row r="18" spans="1:2" x14ac:dyDescent="0.25">
      <c r="A18" s="383" t="s">
        <v>504</v>
      </c>
      <c r="B18" s="384">
        <v>45</v>
      </c>
    </row>
    <row r="19" spans="1:2" x14ac:dyDescent="0.25">
      <c r="A19" s="383" t="s">
        <v>505</v>
      </c>
      <c r="B19" s="384">
        <v>25</v>
      </c>
    </row>
    <row r="20" spans="1:2" x14ac:dyDescent="0.25">
      <c r="A20" s="383" t="s">
        <v>590</v>
      </c>
      <c r="B20" s="384">
        <v>11</v>
      </c>
    </row>
    <row r="21" spans="1:2" x14ac:dyDescent="0.25">
      <c r="A21" s="383" t="s">
        <v>591</v>
      </c>
      <c r="B21" s="384">
        <v>11</v>
      </c>
    </row>
    <row r="22" spans="1:2" x14ac:dyDescent="0.25">
      <c r="A22" s="383" t="s">
        <v>523</v>
      </c>
      <c r="B22" s="384">
        <v>11</v>
      </c>
    </row>
    <row r="23" spans="1:2" x14ac:dyDescent="0.25">
      <c r="A23" s="383" t="s">
        <v>592</v>
      </c>
      <c r="B23" s="384">
        <v>33</v>
      </c>
    </row>
    <row r="24" spans="1:2" x14ac:dyDescent="0.25">
      <c r="A24" s="383" t="s">
        <v>506</v>
      </c>
      <c r="B24" s="384">
        <v>11</v>
      </c>
    </row>
    <row r="25" spans="1:2" x14ac:dyDescent="0.25">
      <c r="A25" s="383" t="s">
        <v>593</v>
      </c>
      <c r="B25" s="384">
        <v>18</v>
      </c>
    </row>
    <row r="26" spans="1:2" x14ac:dyDescent="0.25">
      <c r="A26" s="383" t="s">
        <v>524</v>
      </c>
      <c r="B26" s="384">
        <v>18</v>
      </c>
    </row>
    <row r="27" spans="1:2" x14ac:dyDescent="0.25">
      <c r="A27" s="383" t="s">
        <v>535</v>
      </c>
      <c r="B27" s="384">
        <v>18</v>
      </c>
    </row>
    <row r="28" spans="1:2" x14ac:dyDescent="0.25">
      <c r="A28" s="383" t="s">
        <v>527</v>
      </c>
      <c r="B28" s="384">
        <v>18.25</v>
      </c>
    </row>
    <row r="29" spans="1:2" x14ac:dyDescent="0.25">
      <c r="A29" s="383" t="s">
        <v>594</v>
      </c>
      <c r="B29" s="384">
        <v>11</v>
      </c>
    </row>
    <row r="30" spans="1:2" x14ac:dyDescent="0.25">
      <c r="A30" s="383" t="s">
        <v>529</v>
      </c>
      <c r="B30" s="384">
        <v>11</v>
      </c>
    </row>
    <row r="31" spans="1:2" x14ac:dyDescent="0.25">
      <c r="A31" s="383" t="s">
        <v>537</v>
      </c>
      <c r="B31" s="384">
        <v>35</v>
      </c>
    </row>
    <row r="32" spans="1:2" x14ac:dyDescent="0.25">
      <c r="A32" s="383" t="s">
        <v>507</v>
      </c>
      <c r="B32" s="384">
        <v>40</v>
      </c>
    </row>
    <row r="33" spans="1:2" x14ac:dyDescent="0.25">
      <c r="A33" s="383" t="s">
        <v>532</v>
      </c>
      <c r="B33" s="384">
        <v>11</v>
      </c>
    </row>
    <row r="34" spans="1:2" x14ac:dyDescent="0.25">
      <c r="A34" s="383" t="s">
        <v>533</v>
      </c>
      <c r="B34" s="384">
        <v>25</v>
      </c>
    </row>
    <row r="35" spans="1:2" x14ac:dyDescent="0.25">
      <c r="A35" s="383" t="s">
        <v>534</v>
      </c>
      <c r="B35" s="384">
        <v>35</v>
      </c>
    </row>
    <row r="36" spans="1:2" x14ac:dyDescent="0.25">
      <c r="A36" s="383" t="s">
        <v>531</v>
      </c>
      <c r="B36" s="384">
        <v>20</v>
      </c>
    </row>
    <row r="37" spans="1:2" x14ac:dyDescent="0.25">
      <c r="A37" s="383" t="s">
        <v>595</v>
      </c>
      <c r="B37" s="384">
        <v>13</v>
      </c>
    </row>
    <row r="38" spans="1:2" x14ac:dyDescent="0.25">
      <c r="A38" s="383" t="s">
        <v>508</v>
      </c>
      <c r="B38" s="384">
        <v>42.05</v>
      </c>
    </row>
    <row r="39" spans="1:2" x14ac:dyDescent="0.25">
      <c r="A39" s="383" t="s">
        <v>509</v>
      </c>
      <c r="B39" s="384">
        <v>50</v>
      </c>
    </row>
    <row r="40" spans="1:2" x14ac:dyDescent="0.25">
      <c r="A40" s="383" t="s">
        <v>528</v>
      </c>
      <c r="B40" s="384">
        <v>11</v>
      </c>
    </row>
    <row r="41" spans="1:2" x14ac:dyDescent="0.25">
      <c r="A41" s="383" t="s">
        <v>596</v>
      </c>
      <c r="B41" s="384">
        <v>11</v>
      </c>
    </row>
    <row r="42" spans="1:2" x14ac:dyDescent="0.25">
      <c r="A42" s="383" t="s">
        <v>597</v>
      </c>
      <c r="B42" s="384">
        <v>11</v>
      </c>
    </row>
    <row r="43" spans="1:2" x14ac:dyDescent="0.25">
      <c r="A43" s="383" t="s">
        <v>556</v>
      </c>
      <c r="B43" s="384">
        <v>11</v>
      </c>
    </row>
    <row r="44" spans="1:2" x14ac:dyDescent="0.25">
      <c r="A44" s="383" t="s">
        <v>557</v>
      </c>
      <c r="B44" s="384">
        <v>11</v>
      </c>
    </row>
    <row r="45" spans="1:2" x14ac:dyDescent="0.25">
      <c r="A45" s="383" t="s">
        <v>553</v>
      </c>
      <c r="B45" s="384">
        <v>11</v>
      </c>
    </row>
    <row r="46" spans="1:2" x14ac:dyDescent="0.25">
      <c r="A46" s="383" t="s">
        <v>598</v>
      </c>
      <c r="B46" s="384">
        <v>11.38</v>
      </c>
    </row>
    <row r="47" spans="1:2" x14ac:dyDescent="0.25">
      <c r="A47" s="383" t="s">
        <v>554</v>
      </c>
      <c r="B47" s="384">
        <v>11</v>
      </c>
    </row>
    <row r="48" spans="1:2" x14ac:dyDescent="0.25">
      <c r="A48" s="383" t="s">
        <v>599</v>
      </c>
      <c r="B48" s="384">
        <v>25</v>
      </c>
    </row>
    <row r="49" spans="1:2" x14ac:dyDescent="0.25">
      <c r="A49" s="383" t="s">
        <v>558</v>
      </c>
      <c r="B49" s="384">
        <v>30</v>
      </c>
    </row>
    <row r="50" spans="1:2" x14ac:dyDescent="0.25">
      <c r="A50" s="383" t="s">
        <v>559</v>
      </c>
      <c r="B50" s="384">
        <v>35</v>
      </c>
    </row>
    <row r="51" spans="1:2" x14ac:dyDescent="0.25">
      <c r="A51" s="383" t="s">
        <v>510</v>
      </c>
      <c r="B51" s="384">
        <v>40</v>
      </c>
    </row>
    <row r="52" spans="1:2" x14ac:dyDescent="0.25">
      <c r="A52" s="383" t="s">
        <v>560</v>
      </c>
      <c r="B52" s="384">
        <v>11</v>
      </c>
    </row>
    <row r="53" spans="1:2" x14ac:dyDescent="0.25">
      <c r="A53" s="383" t="s">
        <v>555</v>
      </c>
      <c r="B53" s="384">
        <v>11</v>
      </c>
    </row>
    <row r="54" spans="1:2" x14ac:dyDescent="0.25">
      <c r="A54" s="383" t="s">
        <v>549</v>
      </c>
      <c r="B54" s="384">
        <v>11</v>
      </c>
    </row>
    <row r="55" spans="1:2" x14ac:dyDescent="0.25">
      <c r="A55" s="383" t="s">
        <v>550</v>
      </c>
      <c r="B55" s="384">
        <v>11</v>
      </c>
    </row>
    <row r="56" spans="1:2" x14ac:dyDescent="0.25">
      <c r="A56" s="383" t="s">
        <v>551</v>
      </c>
      <c r="B56" s="384">
        <v>11</v>
      </c>
    </row>
    <row r="57" spans="1:2" x14ac:dyDescent="0.25">
      <c r="A57" s="383" t="s">
        <v>600</v>
      </c>
      <c r="B57" s="384">
        <v>16</v>
      </c>
    </row>
    <row r="58" spans="1:2" x14ac:dyDescent="0.25">
      <c r="A58" s="383" t="s">
        <v>552</v>
      </c>
      <c r="B58" s="384">
        <v>18</v>
      </c>
    </row>
    <row r="59" spans="1:2" x14ac:dyDescent="0.25">
      <c r="A59" s="383" t="s">
        <v>601</v>
      </c>
      <c r="B59" s="384">
        <v>11</v>
      </c>
    </row>
    <row r="60" spans="1:2" x14ac:dyDescent="0.25">
      <c r="A60" s="383" t="s">
        <v>602</v>
      </c>
      <c r="B60" s="384">
        <v>11</v>
      </c>
    </row>
    <row r="61" spans="1:2" x14ac:dyDescent="0.25">
      <c r="A61" s="383" t="s">
        <v>603</v>
      </c>
      <c r="B61" s="384">
        <v>11</v>
      </c>
    </row>
    <row r="62" spans="1:2" x14ac:dyDescent="0.25">
      <c r="A62" s="383" t="s">
        <v>511</v>
      </c>
      <c r="B62" s="384">
        <v>20</v>
      </c>
    </row>
    <row r="63" spans="1:2" x14ac:dyDescent="0.25">
      <c r="A63" s="383" t="s">
        <v>548</v>
      </c>
      <c r="B63" s="384">
        <v>52</v>
      </c>
    </row>
    <row r="64" spans="1:2" x14ac:dyDescent="0.25">
      <c r="A64" s="383" t="s">
        <v>604</v>
      </c>
      <c r="B64" s="384">
        <v>11</v>
      </c>
    </row>
    <row r="65" spans="1:2" x14ac:dyDescent="0.25">
      <c r="A65" s="383" t="s">
        <v>605</v>
      </c>
      <c r="B65" s="384">
        <v>11</v>
      </c>
    </row>
    <row r="66" spans="1:2" x14ac:dyDescent="0.25">
      <c r="A66" s="383" t="s">
        <v>606</v>
      </c>
      <c r="B66" s="384">
        <v>12.5</v>
      </c>
    </row>
    <row r="67" spans="1:2" x14ac:dyDescent="0.25">
      <c r="A67" s="383" t="s">
        <v>607</v>
      </c>
      <c r="B67" s="384">
        <v>14</v>
      </c>
    </row>
    <row r="68" spans="1:2" x14ac:dyDescent="0.25">
      <c r="A68" s="383" t="s">
        <v>545</v>
      </c>
      <c r="B68" s="384">
        <v>15</v>
      </c>
    </row>
    <row r="69" spans="1:2" x14ac:dyDescent="0.25">
      <c r="A69" s="383" t="s">
        <v>546</v>
      </c>
      <c r="B69" s="384">
        <v>20.5</v>
      </c>
    </row>
    <row r="70" spans="1:2" x14ac:dyDescent="0.25">
      <c r="A70" s="383" t="s">
        <v>547</v>
      </c>
      <c r="B70" s="384">
        <v>25</v>
      </c>
    </row>
    <row r="71" spans="1:2" x14ac:dyDescent="0.25">
      <c r="A71" s="383" t="s">
        <v>608</v>
      </c>
      <c r="B71" s="384">
        <v>13</v>
      </c>
    </row>
    <row r="72" spans="1:2" x14ac:dyDescent="0.25">
      <c r="A72" s="383" t="s">
        <v>544</v>
      </c>
      <c r="B72" s="384">
        <v>11.5</v>
      </c>
    </row>
    <row r="73" spans="1:2" x14ac:dyDescent="0.25">
      <c r="A73" s="383" t="s">
        <v>512</v>
      </c>
      <c r="B73" s="384">
        <v>25</v>
      </c>
    </row>
    <row r="74" spans="1:2" x14ac:dyDescent="0.25">
      <c r="A74" s="383" t="s">
        <v>538</v>
      </c>
      <c r="B74" s="384">
        <v>25</v>
      </c>
    </row>
    <row r="75" spans="1:2" x14ac:dyDescent="0.25">
      <c r="A75" s="383" t="s">
        <v>539</v>
      </c>
      <c r="B75" s="384">
        <v>11</v>
      </c>
    </row>
    <row r="76" spans="1:2" x14ac:dyDescent="0.25">
      <c r="A76" s="383" t="s">
        <v>540</v>
      </c>
      <c r="B76" s="384">
        <v>11</v>
      </c>
    </row>
    <row r="77" spans="1:2" x14ac:dyDescent="0.25">
      <c r="A77" s="383" t="s">
        <v>541</v>
      </c>
      <c r="B77" s="384">
        <v>35</v>
      </c>
    </row>
    <row r="78" spans="1:2" x14ac:dyDescent="0.25">
      <c r="A78" s="383" t="s">
        <v>542</v>
      </c>
      <c r="B78" s="384">
        <v>37</v>
      </c>
    </row>
    <row r="79" spans="1:2" x14ac:dyDescent="0.25">
      <c r="A79" s="383" t="s">
        <v>543</v>
      </c>
      <c r="B79" s="384">
        <v>40</v>
      </c>
    </row>
    <row r="80" spans="1:2" x14ac:dyDescent="0.25">
      <c r="A80" s="383" t="s">
        <v>609</v>
      </c>
      <c r="B80" s="384">
        <v>11</v>
      </c>
    </row>
    <row r="81" spans="1:2" x14ac:dyDescent="0.25">
      <c r="A81" s="383" t="s">
        <v>561</v>
      </c>
      <c r="B81" s="384">
        <v>14.22</v>
      </c>
    </row>
    <row r="82" spans="1:2" x14ac:dyDescent="0.25">
      <c r="A82" s="383" t="s">
        <v>513</v>
      </c>
      <c r="B82" s="384">
        <v>15.65</v>
      </c>
    </row>
    <row r="83" spans="1:2" x14ac:dyDescent="0.25">
      <c r="A83" s="383" t="s">
        <v>514</v>
      </c>
      <c r="B83" s="384">
        <v>11</v>
      </c>
    </row>
    <row r="84" spans="1:2" x14ac:dyDescent="0.25">
      <c r="A84" s="383" t="s">
        <v>515</v>
      </c>
      <c r="B84" s="384">
        <v>15</v>
      </c>
    </row>
    <row r="85" spans="1:2" x14ac:dyDescent="0.25">
      <c r="A85" s="383" t="s">
        <v>516</v>
      </c>
      <c r="B85" s="384">
        <v>11</v>
      </c>
    </row>
    <row r="86" spans="1:2" x14ac:dyDescent="0.25">
      <c r="A86" s="383" t="s">
        <v>517</v>
      </c>
      <c r="B86" s="384">
        <v>11</v>
      </c>
    </row>
    <row r="87" spans="1:2" x14ac:dyDescent="0.25">
      <c r="A87" s="383" t="s">
        <v>610</v>
      </c>
      <c r="B87" s="384">
        <v>11</v>
      </c>
    </row>
    <row r="88" spans="1:2" x14ac:dyDescent="0.25">
      <c r="A88" s="383" t="s">
        <v>611</v>
      </c>
      <c r="B88" s="384">
        <v>11</v>
      </c>
    </row>
    <row r="89" spans="1:2" x14ac:dyDescent="0.25">
      <c r="A89" s="383" t="s">
        <v>612</v>
      </c>
      <c r="B89" s="384">
        <v>11</v>
      </c>
    </row>
    <row r="90" spans="1:2" x14ac:dyDescent="0.25">
      <c r="A90" s="383" t="s">
        <v>613</v>
      </c>
      <c r="B90" s="384">
        <v>11</v>
      </c>
    </row>
    <row r="91" spans="1:2" x14ac:dyDescent="0.25">
      <c r="A91" s="383" t="s">
        <v>614</v>
      </c>
      <c r="B91" s="384">
        <v>11.65</v>
      </c>
    </row>
    <row r="92" spans="1:2" x14ac:dyDescent="0.25">
      <c r="A92" s="383" t="s">
        <v>615</v>
      </c>
      <c r="B92" s="384">
        <v>12.65</v>
      </c>
    </row>
    <row r="93" spans="1:2" x14ac:dyDescent="0.25">
      <c r="A93" s="383" t="s">
        <v>562</v>
      </c>
      <c r="B93" s="384">
        <v>17</v>
      </c>
    </row>
    <row r="94" spans="1:2" x14ac:dyDescent="0.25">
      <c r="A94" s="383" t="s">
        <v>577</v>
      </c>
      <c r="B94" s="384">
        <v>17</v>
      </c>
    </row>
    <row r="95" spans="1:2" x14ac:dyDescent="0.25">
      <c r="A95" s="383" t="s">
        <v>578</v>
      </c>
      <c r="B95" s="384">
        <v>25</v>
      </c>
    </row>
    <row r="96" spans="1:2" x14ac:dyDescent="0.25">
      <c r="A96" s="383" t="s">
        <v>571</v>
      </c>
      <c r="B96" s="384">
        <v>12.5</v>
      </c>
    </row>
    <row r="97" spans="1:2" x14ac:dyDescent="0.25">
      <c r="A97" s="383" t="s">
        <v>579</v>
      </c>
      <c r="B97" s="384">
        <v>13.45</v>
      </c>
    </row>
    <row r="98" spans="1:2" x14ac:dyDescent="0.25">
      <c r="A98" s="383" t="s">
        <v>580</v>
      </c>
      <c r="B98" s="384">
        <v>11</v>
      </c>
    </row>
    <row r="99" spans="1:2" x14ac:dyDescent="0.25">
      <c r="A99" s="383" t="s">
        <v>581</v>
      </c>
      <c r="B99" s="384">
        <v>30</v>
      </c>
    </row>
    <row r="100" spans="1:2" x14ac:dyDescent="0.25">
      <c r="A100" s="383" t="s">
        <v>563</v>
      </c>
      <c r="B100" s="384">
        <v>25</v>
      </c>
    </row>
    <row r="101" spans="1:2" x14ac:dyDescent="0.25">
      <c r="A101" s="383" t="s">
        <v>518</v>
      </c>
      <c r="B101" s="384">
        <v>12</v>
      </c>
    </row>
    <row r="102" spans="1:2" x14ac:dyDescent="0.25">
      <c r="A102" s="383" t="s">
        <v>573</v>
      </c>
      <c r="B102" s="384">
        <v>12</v>
      </c>
    </row>
    <row r="103" spans="1:2" x14ac:dyDescent="0.25">
      <c r="A103" s="383" t="s">
        <v>574</v>
      </c>
      <c r="B103" s="384">
        <v>11</v>
      </c>
    </row>
    <row r="104" spans="1:2" x14ac:dyDescent="0.25">
      <c r="A104" s="383" t="s">
        <v>565</v>
      </c>
      <c r="B104" s="384">
        <v>20</v>
      </c>
    </row>
    <row r="105" spans="1:2" x14ac:dyDescent="0.25">
      <c r="A105" s="383" t="s">
        <v>519</v>
      </c>
      <c r="B105" s="384">
        <v>12</v>
      </c>
    </row>
    <row r="106" spans="1:2" x14ac:dyDescent="0.25">
      <c r="A106" s="383" t="s">
        <v>520</v>
      </c>
      <c r="B106" s="384">
        <v>35</v>
      </c>
    </row>
    <row r="107" spans="1:2" x14ac:dyDescent="0.25">
      <c r="A107" s="383" t="s">
        <v>575</v>
      </c>
      <c r="B107" s="384">
        <v>55</v>
      </c>
    </row>
    <row r="108" spans="1:2" x14ac:dyDescent="0.25">
      <c r="A108" s="383" t="s">
        <v>576</v>
      </c>
      <c r="B108" s="384">
        <v>11</v>
      </c>
    </row>
    <row r="109" spans="1:2" x14ac:dyDescent="0.25">
      <c r="A109" s="383" t="s">
        <v>568</v>
      </c>
      <c r="B109" s="384">
        <v>24</v>
      </c>
    </row>
    <row r="110" spans="1:2" x14ac:dyDescent="0.25">
      <c r="A110" s="383" t="s">
        <v>569</v>
      </c>
      <c r="B110" s="384">
        <v>11</v>
      </c>
    </row>
    <row r="111" spans="1:2" x14ac:dyDescent="0.25">
      <c r="A111" s="383" t="s">
        <v>566</v>
      </c>
      <c r="B111" s="384">
        <v>11</v>
      </c>
    </row>
    <row r="112" spans="1:2" x14ac:dyDescent="0.25">
      <c r="A112" s="383" t="s">
        <v>567</v>
      </c>
      <c r="B112" s="384">
        <v>11</v>
      </c>
    </row>
    <row r="113" spans="1:2" x14ac:dyDescent="0.25">
      <c r="A113" s="383" t="s">
        <v>582</v>
      </c>
      <c r="B113" s="384">
        <v>11</v>
      </c>
    </row>
    <row r="114" spans="1:2" x14ac:dyDescent="0.25">
      <c r="A114" s="383" t="s">
        <v>572</v>
      </c>
      <c r="B114" s="384">
        <v>12</v>
      </c>
    </row>
    <row r="115" spans="1:2" x14ac:dyDescent="0.25">
      <c r="A115" s="383" t="s">
        <v>570</v>
      </c>
      <c r="B115" s="384">
        <v>135</v>
      </c>
    </row>
    <row r="116" spans="1:2" x14ac:dyDescent="0.25">
      <c r="A116" s="383" t="s">
        <v>564</v>
      </c>
      <c r="B116" s="384">
        <v>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11"/>
  <sheetViews>
    <sheetView workbookViewId="0">
      <selection activeCell="C2" sqref="C2"/>
    </sheetView>
  </sheetViews>
  <sheetFormatPr defaultColWidth="9.140625" defaultRowHeight="15.75" x14ac:dyDescent="0.25"/>
  <cols>
    <col min="1" max="1" width="14" style="106" customWidth="1"/>
    <col min="2" max="2" width="9.28515625" style="115" customWidth="1"/>
    <col min="3" max="3" width="14.140625" style="106" customWidth="1"/>
    <col min="4" max="4" width="2.28515625" style="106" customWidth="1"/>
    <col min="5" max="16384" width="9.140625" style="106"/>
  </cols>
  <sheetData>
    <row r="1" spans="1:3" x14ac:dyDescent="0.25">
      <c r="A1" s="103" t="s">
        <v>32</v>
      </c>
      <c r="B1" s="104" t="s">
        <v>163</v>
      </c>
      <c r="C1" s="105">
        <v>98756</v>
      </c>
    </row>
    <row r="2" spans="1:3" x14ac:dyDescent="0.25">
      <c r="A2" s="107" t="s">
        <v>33</v>
      </c>
      <c r="B2" s="344">
        <v>0.1628</v>
      </c>
      <c r="C2" s="105">
        <f t="shared" ref="C2:C7" si="0">ROUND(B2*$C$1,0)</f>
        <v>16077</v>
      </c>
    </row>
    <row r="3" spans="1:3" x14ac:dyDescent="0.25">
      <c r="A3" s="107" t="s">
        <v>164</v>
      </c>
      <c r="B3" s="344">
        <v>1.4500000000000001E-2</v>
      </c>
      <c r="C3" s="105">
        <f t="shared" si="0"/>
        <v>1432</v>
      </c>
    </row>
    <row r="4" spans="1:3" x14ac:dyDescent="0.25">
      <c r="A4" s="107" t="s">
        <v>34</v>
      </c>
      <c r="B4" s="344">
        <v>5.0000000000000001E-4</v>
      </c>
      <c r="C4" s="105">
        <f t="shared" si="0"/>
        <v>49</v>
      </c>
    </row>
    <row r="5" spans="1:3" x14ac:dyDescent="0.25">
      <c r="A5" s="107" t="s">
        <v>165</v>
      </c>
      <c r="B5" s="344">
        <v>1.6E-2</v>
      </c>
      <c r="C5" s="105">
        <f t="shared" si="0"/>
        <v>1580</v>
      </c>
    </row>
    <row r="6" spans="1:3" x14ac:dyDescent="0.25">
      <c r="A6" s="107" t="s">
        <v>434</v>
      </c>
      <c r="B6" s="344">
        <v>1.6E-2</v>
      </c>
      <c r="C6" s="105">
        <f t="shared" si="0"/>
        <v>1580</v>
      </c>
    </row>
    <row r="7" spans="1:3" x14ac:dyDescent="0.25">
      <c r="A7" s="107" t="s">
        <v>752</v>
      </c>
      <c r="B7" s="344">
        <v>2E-3</v>
      </c>
      <c r="C7" s="105">
        <f t="shared" si="0"/>
        <v>198</v>
      </c>
    </row>
    <row r="8" spans="1:3" ht="18" x14ac:dyDescent="0.4">
      <c r="A8" s="109" t="s">
        <v>162</v>
      </c>
      <c r="B8" s="108"/>
      <c r="C8" s="110">
        <v>36670</v>
      </c>
    </row>
    <row r="9" spans="1:3" s="114" customFormat="1" ht="18" x14ac:dyDescent="0.4">
      <c r="A9" s="111" t="s">
        <v>166</v>
      </c>
      <c r="B9" s="112"/>
      <c r="C9" s="113">
        <f>SUM(C1:C8)</f>
        <v>156342</v>
      </c>
    </row>
    <row r="11" spans="1:3" x14ac:dyDescent="0.25">
      <c r="A11" s="106" t="s">
        <v>433</v>
      </c>
    </row>
  </sheetData>
  <pageMargins left="0.75" right="0.75" top="1.38" bottom="1" header="0.5" footer="0.5"/>
  <pageSetup orientation="portrait" r:id="rId1"/>
  <headerFooter alignWithMargins="0">
    <oddHeader>&amp;C&amp;"Times New Roman,Regular"&amp;12Riverside Community College District
2014/2015 Faculty Total Cost of Position</oddHeader>
    <oddFooter>&amp;R&amp;9&amp;Z&amp;F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11"/>
  <sheetViews>
    <sheetView workbookViewId="0">
      <selection activeCell="B8" sqref="B8"/>
    </sheetView>
  </sheetViews>
  <sheetFormatPr defaultColWidth="9.140625" defaultRowHeight="15.75" x14ac:dyDescent="0.25"/>
  <cols>
    <col min="1" max="1" width="14" style="106" customWidth="1"/>
    <col min="2" max="2" width="9.28515625" style="115" customWidth="1"/>
    <col min="3" max="3" width="14.140625" style="106" customWidth="1"/>
    <col min="4" max="4" width="2.28515625" style="106" customWidth="1"/>
    <col min="5" max="16384" width="9.140625" style="106"/>
  </cols>
  <sheetData>
    <row r="1" spans="1:3" x14ac:dyDescent="0.25">
      <c r="A1" s="103" t="s">
        <v>32</v>
      </c>
      <c r="B1" s="104" t="s">
        <v>163</v>
      </c>
      <c r="C1" s="105">
        <v>104367</v>
      </c>
    </row>
    <row r="2" spans="1:3" x14ac:dyDescent="0.25">
      <c r="A2" s="107" t="s">
        <v>33</v>
      </c>
      <c r="B2" s="344">
        <v>0.1628</v>
      </c>
      <c r="C2" s="105">
        <f t="shared" ref="C2:C7" si="0">ROUND(B2*$C$1,0)</f>
        <v>16991</v>
      </c>
    </row>
    <row r="3" spans="1:3" x14ac:dyDescent="0.25">
      <c r="A3" s="107" t="s">
        <v>164</v>
      </c>
      <c r="B3" s="344">
        <v>1.4500000000000001E-2</v>
      </c>
      <c r="C3" s="105">
        <f t="shared" si="0"/>
        <v>1513</v>
      </c>
    </row>
    <row r="4" spans="1:3" x14ac:dyDescent="0.25">
      <c r="A4" s="107" t="s">
        <v>34</v>
      </c>
      <c r="B4" s="344">
        <v>5.0000000000000001E-4</v>
      </c>
      <c r="C4" s="105">
        <f t="shared" si="0"/>
        <v>52</v>
      </c>
    </row>
    <row r="5" spans="1:3" x14ac:dyDescent="0.25">
      <c r="A5" s="107" t="s">
        <v>165</v>
      </c>
      <c r="B5" s="344">
        <v>1.6E-2</v>
      </c>
      <c r="C5" s="105">
        <f t="shared" si="0"/>
        <v>1670</v>
      </c>
    </row>
    <row r="6" spans="1:3" x14ac:dyDescent="0.25">
      <c r="A6" s="107" t="s">
        <v>434</v>
      </c>
      <c r="B6" s="344">
        <v>1.6E-2</v>
      </c>
      <c r="C6" s="105">
        <f t="shared" si="0"/>
        <v>1670</v>
      </c>
    </row>
    <row r="7" spans="1:3" x14ac:dyDescent="0.25">
      <c r="A7" s="107" t="s">
        <v>752</v>
      </c>
      <c r="B7" s="344">
        <v>2E-3</v>
      </c>
      <c r="C7" s="105">
        <f t="shared" si="0"/>
        <v>209</v>
      </c>
    </row>
    <row r="8" spans="1:3" ht="18" x14ac:dyDescent="0.4">
      <c r="A8" s="109" t="s">
        <v>162</v>
      </c>
      <c r="B8" s="344"/>
      <c r="C8" s="110">
        <v>36670</v>
      </c>
    </row>
    <row r="9" spans="1:3" s="114" customFormat="1" ht="18" x14ac:dyDescent="0.4">
      <c r="A9" s="111" t="s">
        <v>166</v>
      </c>
      <c r="B9" s="112"/>
      <c r="C9" s="113">
        <f>SUM(C1:C8)</f>
        <v>163142</v>
      </c>
    </row>
    <row r="11" spans="1:3" x14ac:dyDescent="0.25">
      <c r="A11" s="106" t="s">
        <v>433</v>
      </c>
    </row>
  </sheetData>
  <pageMargins left="0.75" right="0.75" top="1.38" bottom="1" header="0.5" footer="0.5"/>
  <pageSetup orientation="portrait" r:id="rId1"/>
  <headerFooter alignWithMargins="0">
    <oddHeader>&amp;C&amp;"Times New Roman,Regular"&amp;12Riverside Community College District
2014/2015 Counselor/Librarian Total Cost of Position</oddHeader>
    <oddFooter>&amp;R&amp;9&amp;Z&amp;F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18"/>
  <sheetViews>
    <sheetView workbookViewId="0">
      <selection activeCell="B15" sqref="B15"/>
    </sheetView>
  </sheetViews>
  <sheetFormatPr defaultColWidth="9.140625" defaultRowHeight="15.75" x14ac:dyDescent="0.25"/>
  <cols>
    <col min="1" max="1" width="16.42578125" style="106" customWidth="1"/>
    <col min="2" max="2" width="14.28515625" style="115" customWidth="1"/>
    <col min="3" max="3" width="14.140625" style="106" customWidth="1"/>
    <col min="4" max="4" width="2.28515625" style="106" customWidth="1"/>
    <col min="5" max="5" width="9.140625" style="106"/>
    <col min="6" max="6" width="11.5703125" style="106" bestFit="1" customWidth="1"/>
    <col min="7" max="16384" width="9.140625" style="106"/>
  </cols>
  <sheetData>
    <row r="1" spans="1:6" x14ac:dyDescent="0.25">
      <c r="A1" s="106" t="s">
        <v>167</v>
      </c>
      <c r="B1" s="116"/>
      <c r="C1" s="117">
        <v>87.12</v>
      </c>
    </row>
    <row r="2" spans="1:6" x14ac:dyDescent="0.25">
      <c r="A2" s="106" t="s">
        <v>168</v>
      </c>
      <c r="B2" s="116"/>
      <c r="C2" s="106">
        <v>54</v>
      </c>
    </row>
    <row r="3" spans="1:6" x14ac:dyDescent="0.25">
      <c r="A3" s="106" t="s">
        <v>169</v>
      </c>
      <c r="B3" s="116"/>
      <c r="C3" s="117">
        <v>58.1</v>
      </c>
    </row>
    <row r="4" spans="1:6" x14ac:dyDescent="0.25">
      <c r="A4" s="106" t="s">
        <v>170</v>
      </c>
      <c r="B4" s="116"/>
      <c r="C4" s="106">
        <v>3</v>
      </c>
    </row>
    <row r="5" spans="1:6" ht="31.5" x14ac:dyDescent="0.25">
      <c r="A5" s="246" t="s">
        <v>171</v>
      </c>
      <c r="B5" s="246"/>
      <c r="C5" s="105">
        <f>ROUND(((C1*C2)+(C4*C3)),2)</f>
        <v>4878.78</v>
      </c>
    </row>
    <row r="6" spans="1:6" ht="31.5" x14ac:dyDescent="0.25">
      <c r="A6" s="247" t="s">
        <v>172</v>
      </c>
      <c r="B6" s="247"/>
      <c r="C6" s="127">
        <f>ROUND(C5*10,0)</f>
        <v>48788</v>
      </c>
    </row>
    <row r="7" spans="1:6" ht="15.75" customHeight="1" x14ac:dyDescent="0.25">
      <c r="A7" s="107" t="s">
        <v>33</v>
      </c>
      <c r="B7" s="344">
        <v>0.1628</v>
      </c>
      <c r="C7" s="105">
        <f>ROUND(B7*$C$6,0)</f>
        <v>7943</v>
      </c>
      <c r="F7" s="254"/>
    </row>
    <row r="8" spans="1:6" ht="15.75" customHeight="1" x14ac:dyDescent="0.25">
      <c r="A8" s="107" t="s">
        <v>164</v>
      </c>
      <c r="B8" s="344">
        <v>1.4500000000000001E-2</v>
      </c>
      <c r="C8" s="105">
        <f t="shared" ref="C8:C12" si="0">ROUND(B8*$C$6,0)</f>
        <v>707</v>
      </c>
    </row>
    <row r="9" spans="1:6" x14ac:dyDescent="0.25">
      <c r="A9" s="107" t="s">
        <v>34</v>
      </c>
      <c r="B9" s="344">
        <v>5.0000000000000001E-4</v>
      </c>
      <c r="C9" s="105">
        <f t="shared" si="0"/>
        <v>24</v>
      </c>
    </row>
    <row r="10" spans="1:6" x14ac:dyDescent="0.25">
      <c r="A10" s="107" t="s">
        <v>165</v>
      </c>
      <c r="B10" s="344">
        <v>1.6E-2</v>
      </c>
      <c r="C10" s="105">
        <f t="shared" si="0"/>
        <v>781</v>
      </c>
    </row>
    <row r="11" spans="1:6" x14ac:dyDescent="0.25">
      <c r="A11" s="107" t="s">
        <v>434</v>
      </c>
      <c r="B11" s="344">
        <v>1.6E-2</v>
      </c>
      <c r="C11" s="105">
        <f t="shared" si="0"/>
        <v>781</v>
      </c>
    </row>
    <row r="12" spans="1:6" x14ac:dyDescent="0.25">
      <c r="A12" s="107" t="s">
        <v>752</v>
      </c>
      <c r="B12" s="344">
        <v>2E-3</v>
      </c>
      <c r="C12" s="105">
        <f t="shared" si="0"/>
        <v>98</v>
      </c>
    </row>
    <row r="13" spans="1:6" ht="18" x14ac:dyDescent="0.4">
      <c r="A13" s="109" t="s">
        <v>173</v>
      </c>
      <c r="B13" s="108"/>
      <c r="C13" s="110">
        <v>0</v>
      </c>
    </row>
    <row r="14" spans="1:6" ht="18" x14ac:dyDescent="0.4">
      <c r="A14" s="111" t="s">
        <v>166</v>
      </c>
      <c r="B14" s="112"/>
      <c r="C14" s="113">
        <f>SUM(C6:C13)</f>
        <v>59122</v>
      </c>
    </row>
    <row r="16" spans="1:6" s="114" customFormat="1" x14ac:dyDescent="0.25">
      <c r="A16" s="422" t="s">
        <v>626</v>
      </c>
      <c r="B16" s="422"/>
      <c r="C16" s="273">
        <f>C6/2</f>
        <v>24394</v>
      </c>
    </row>
    <row r="18" spans="1:1" x14ac:dyDescent="0.25">
      <c r="A18" s="106" t="s">
        <v>755</v>
      </c>
    </row>
  </sheetData>
  <mergeCells count="1">
    <mergeCell ref="A16:B16"/>
  </mergeCells>
  <pageMargins left="0.75" right="0.75" top="1.45" bottom="1" header="0.5" footer="0.5"/>
  <pageSetup orientation="portrait" r:id="rId1"/>
  <headerFooter alignWithMargins="0">
    <oddHeader>&amp;C&amp;"Times New Roman,Regular"&amp;12Riverside Community College District
2013/2014 Part Time Faculty
Cost for 2.0 FTEs</oddHeader>
    <oddFooter>&amp;R&amp;9&amp;Z&amp;F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781B2C5E67FF4992DF35D4DBFA8F0F" ma:contentTypeVersion="2" ma:contentTypeDescription="Create a new document." ma:contentTypeScope="" ma:versionID="6e126c22d966e0d745594ea8702478ec">
  <xsd:schema xmlns:xsd="http://www.w3.org/2001/XMLSchema" xmlns:xs="http://www.w3.org/2001/XMLSchema" xmlns:p="http://schemas.microsoft.com/office/2006/metadata/properties" xmlns:ns1="http://schemas.microsoft.com/sharepoint/v3" xmlns:ns2="16784278-ba54-4fc1-8023-6c4ad871a038" targetNamespace="http://schemas.microsoft.com/office/2006/metadata/properties" ma:root="true" ma:fieldsID="3bff00b6013e9d151abf4eeeb09746aa" ns1:_="" ns2:_="">
    <xsd:import namespace="http://schemas.microsoft.com/sharepoint/v3"/>
    <xsd:import namespace="16784278-ba54-4fc1-8023-6c4ad871a03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784278-ba54-4fc1-8023-6c4ad871a03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73448B7-0841-4E75-8F6F-21B0A419B446}"/>
</file>

<file path=customXml/itemProps2.xml><?xml version="1.0" encoding="utf-8"?>
<ds:datastoreItem xmlns:ds="http://schemas.openxmlformats.org/officeDocument/2006/customXml" ds:itemID="{DDE7DD32-CE53-4218-B2B2-CDE348994EF2}"/>
</file>

<file path=customXml/itemProps3.xml><?xml version="1.0" encoding="utf-8"?>
<ds:datastoreItem xmlns:ds="http://schemas.openxmlformats.org/officeDocument/2006/customXml" ds:itemID="{F1B0F1EF-7357-4D67-A7AF-872CB38EFE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Fixed Costs-Done</vt:lpstr>
      <vt:lpstr>Summary-Done</vt:lpstr>
      <vt:lpstr>Expenses-Done</vt:lpstr>
      <vt:lpstr>Administrator Job Titles-Done</vt:lpstr>
      <vt:lpstr>Classified Job Titles-Done</vt:lpstr>
      <vt:lpstr>Short Term Non Classified-Done</vt:lpstr>
      <vt:lpstr>TCP Full Time Fac-Done</vt:lpstr>
      <vt:lpstr>TCP Full Time CounsLib-Done</vt:lpstr>
      <vt:lpstr>TCP Assoc Fac-Done</vt:lpstr>
      <vt:lpstr>Student Employment-Done</vt:lpstr>
      <vt:lpstr>Cost Per Section</vt:lpstr>
      <vt:lpstr>Technology</vt:lpstr>
      <vt:lpstr>Utilities</vt:lpstr>
      <vt:lpstr>M &amp; O Standards</vt:lpstr>
      <vt:lpstr>FUSION GSF BY LOCATION</vt:lpstr>
      <vt:lpstr>bldg_summary Norco 071917</vt:lpstr>
      <vt:lpstr>AdminTitles</vt:lpstr>
      <vt:lpstr>ClassTitles</vt:lpstr>
      <vt:lpstr>'Expenses-Done'!Print_Area</vt:lpstr>
      <vt:lpstr>'FUSION GSF BY LOCATION'!Print_Area</vt:lpstr>
      <vt:lpstr>'M &amp; O Standards'!Print_Area</vt:lpstr>
      <vt:lpstr>ShortTerm</vt:lpstr>
      <vt:lpstr>StudentTitles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Jilly Bear</dc:creator>
  <cp:lastModifiedBy>Cheatham, Misty</cp:lastModifiedBy>
  <cp:lastPrinted>2017-08-17T20:09:17Z</cp:lastPrinted>
  <dcterms:created xsi:type="dcterms:W3CDTF">2006-11-02T01:44:33Z</dcterms:created>
  <dcterms:modified xsi:type="dcterms:W3CDTF">2019-03-07T22:19:49Z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0x0101004B781B2C5E67FF4992DF35D4DBFA8F0F</vt:lpwstr>
  </property>
</Properties>
</file>